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drawings/drawing3.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drawings/drawing4.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drawings/drawing5.xml" ContentType="application/vnd.openxmlformats-officedocument.drawing+xml"/>
  <Override PartName="/xl/tables/table12.xml" ContentType="application/vnd.openxmlformats-officedocument.spreadsheetml.table+xml"/>
  <Override PartName="/xl/tables/table13.xml" ContentType="application/vnd.openxmlformats-officedocument.spreadsheetml.table+xml"/>
  <Override PartName="/xl/drawings/drawing6.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otc\Procurement\BUYERS\Working Files\2026\2026-010 DESAT (FSA RFP)\03 Final Copy\"/>
    </mc:Choice>
  </mc:AlternateContent>
  <xr:revisionPtr revIDLastSave="0" documentId="8_{F95882B3-5CD7-4B33-A7E1-5B3B81626D31}" xr6:coauthVersionLast="47" xr6:coauthVersionMax="47" xr10:uidLastSave="{00000000-0000-0000-0000-000000000000}"/>
  <bookViews>
    <workbookView xWindow="1560" yWindow="1740" windowWidth="21600" windowHeight="11385" xr2:uid="{FD6E6C53-282E-425D-8B29-55108BCC27C1}"/>
  </bookViews>
  <sheets>
    <sheet name="Instructions" sheetId="4" r:id="rId1"/>
    <sheet name="Discount Category Table" sheetId="1" r:id="rId2"/>
    <sheet name="Evaluation Scenario A" sheetId="2" r:id="rId3"/>
    <sheet name="Evaluation Scenario B" sheetId="14" r:id="rId4"/>
    <sheet name="Evaluation Scenario C" sheetId="13" r:id="rId5"/>
    <sheet name="Evaluation Scenario D" sheetId="9" r:id="rId6"/>
    <sheet name="Order Workflow" sheetId="3" r:id="rId7"/>
    <sheet name="Sheet1" sheetId="5" r:id="rId8"/>
  </sheets>
  <definedNames>
    <definedName name="_xlnm.Print_Area" localSheetId="1">'Discount Category Table'!$A$15:$H$57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3" l="1"/>
  <c r="A10" i="3"/>
  <c r="G23" i="14"/>
  <c r="I23" i="14" s="1"/>
  <c r="G24" i="14"/>
  <c r="I24" i="14" s="1"/>
  <c r="N24" i="14" s="1"/>
  <c r="G25" i="14"/>
  <c r="I25" i="14" s="1"/>
  <c r="N25" i="14" s="1"/>
  <c r="D24" i="14" a="1"/>
  <c r="D25" i="14" a="1"/>
  <c r="D23" i="14" a="1"/>
  <c r="D24" i="13" a="1"/>
  <c r="D25" i="13" a="1"/>
  <c r="D23" i="13" a="1"/>
  <c r="G23" i="9"/>
  <c r="I23" i="9" s="1"/>
  <c r="N23" i="9" s="1"/>
  <c r="G24" i="9"/>
  <c r="I24" i="9" s="1"/>
  <c r="N24" i="9" s="1"/>
  <c r="G25" i="9"/>
  <c r="I25" i="9" s="1"/>
  <c r="N25" i="9" s="1"/>
  <c r="D24" i="9" a="1"/>
  <c r="D25" i="9" a="1"/>
  <c r="D23" i="9" a="1"/>
  <c r="D22" i="9" a="1"/>
  <c r="G22" i="9"/>
  <c r="I22" i="9" s="1"/>
  <c r="M26" i="9"/>
  <c r="L26" i="9"/>
  <c r="K26" i="9"/>
  <c r="J26" i="9"/>
  <c r="G25" i="13"/>
  <c r="I25" i="13" s="1"/>
  <c r="N25" i="13" s="1"/>
  <c r="G24" i="13"/>
  <c r="I24" i="13" s="1"/>
  <c r="N24" i="13" s="1"/>
  <c r="G23" i="13"/>
  <c r="I23" i="13" s="1"/>
  <c r="N23" i="13" s="1"/>
  <c r="G22" i="13"/>
  <c r="I22" i="13" s="1"/>
  <c r="D22" i="13" a="1"/>
  <c r="M26" i="13"/>
  <c r="L26" i="13"/>
  <c r="K26" i="13"/>
  <c r="J26" i="13"/>
  <c r="G22" i="14"/>
  <c r="I22" i="14" s="1"/>
  <c r="N22" i="14" s="1"/>
  <c r="D22" i="14" a="1"/>
  <c r="D22" i="2" a="1"/>
  <c r="G22" i="2"/>
  <c r="D23" i="2" a="1"/>
  <c r="G23" i="2"/>
  <c r="D24" i="2" a="1"/>
  <c r="G24" i="2"/>
  <c r="I24" i="2" s="1"/>
  <c r="D25" i="2" a="1"/>
  <c r="G25" i="2"/>
  <c r="I25" i="2" s="1"/>
  <c r="J26" i="14"/>
  <c r="K26" i="14"/>
  <c r="L26" i="14"/>
  <c r="M26" i="14"/>
  <c r="J26" i="2"/>
  <c r="K26" i="2"/>
  <c r="L26" i="2"/>
  <c r="M26" i="2"/>
  <c r="H29" i="1"/>
  <c r="D20" i="9"/>
  <c r="A19" i="9"/>
  <c r="D20" i="13"/>
  <c r="A19" i="13"/>
  <c r="D20" i="14"/>
  <c r="A19" i="14"/>
  <c r="D20" i="2"/>
  <c r="A19" i="2"/>
  <c r="G7" i="14"/>
  <c r="I7" i="14" s="1"/>
  <c r="D7" i="14"/>
  <c r="G6" i="14"/>
  <c r="D6" i="14"/>
  <c r="G5" i="14"/>
  <c r="I5" i="14" s="1"/>
  <c r="N5" i="14" s="1"/>
  <c r="D5" i="14"/>
  <c r="G4" i="14"/>
  <c r="I4" i="14" s="1"/>
  <c r="J4" i="14" s="1"/>
  <c r="D4" i="14"/>
  <c r="G7" i="13"/>
  <c r="I7" i="13" s="1"/>
  <c r="D7" i="13"/>
  <c r="G6" i="13"/>
  <c r="D6" i="13"/>
  <c r="G5" i="13"/>
  <c r="I5" i="13" s="1"/>
  <c r="N5" i="13" s="1"/>
  <c r="D5" i="13"/>
  <c r="G4" i="13"/>
  <c r="I4" i="13" s="1"/>
  <c r="J4" i="13" s="1"/>
  <c r="D4" i="13"/>
  <c r="G7" i="9"/>
  <c r="I7" i="9" s="1"/>
  <c r="J7" i="9" s="1"/>
  <c r="K7" i="9" s="1"/>
  <c r="L7" i="9" s="1"/>
  <c r="M7" i="9" s="1"/>
  <c r="D7" i="9"/>
  <c r="G6" i="9"/>
  <c r="D6" i="9"/>
  <c r="G5" i="9"/>
  <c r="I5" i="9" s="1"/>
  <c r="N5" i="9" s="1"/>
  <c r="D5" i="9"/>
  <c r="G4" i="9"/>
  <c r="I4" i="9" s="1"/>
  <c r="J4" i="9" s="1"/>
  <c r="D4" i="9"/>
  <c r="D4" i="2"/>
  <c r="D5" i="2"/>
  <c r="D6" i="2"/>
  <c r="D7" i="2"/>
  <c r="L6" i="9" l="1"/>
  <c r="M6" i="9"/>
  <c r="N6" i="9" s="1"/>
  <c r="N23" i="14"/>
  <c r="I26" i="14"/>
  <c r="N26" i="14" s="1"/>
  <c r="N22" i="9"/>
  <c r="I26" i="9"/>
  <c r="N26" i="9" s="1"/>
  <c r="N22" i="13"/>
  <c r="I26" i="13"/>
  <c r="N26" i="13" s="1"/>
  <c r="I22" i="2"/>
  <c r="I23" i="2"/>
  <c r="N23" i="2" s="1"/>
  <c r="N25" i="2"/>
  <c r="N24" i="2"/>
  <c r="M6" i="13"/>
  <c r="L6" i="13"/>
  <c r="N6" i="13" s="1"/>
  <c r="L6" i="14"/>
  <c r="M6" i="14"/>
  <c r="J7" i="13"/>
  <c r="K7" i="13" s="1"/>
  <c r="L7" i="13" s="1"/>
  <c r="M7" i="13" s="1"/>
  <c r="J7" i="14"/>
  <c r="K7" i="14" s="1"/>
  <c r="L7" i="14" s="1"/>
  <c r="M7" i="14" s="1"/>
  <c r="I8" i="14"/>
  <c r="K4" i="14"/>
  <c r="I8" i="13"/>
  <c r="K4" i="13"/>
  <c r="J8" i="13"/>
  <c r="N7" i="9"/>
  <c r="J8" i="9"/>
  <c r="K4" i="9"/>
  <c r="I8" i="9"/>
  <c r="G6" i="2"/>
  <c r="L6" i="2" s="1"/>
  <c r="G5" i="2"/>
  <c r="I5" i="2" s="1"/>
  <c r="G7" i="2"/>
  <c r="G4" i="2"/>
  <c r="I4" i="2" s="1"/>
  <c r="J4" i="2" s="1"/>
  <c r="N6" i="14" l="1"/>
  <c r="N22" i="2"/>
  <c r="I26" i="2"/>
  <c r="N26" i="2" s="1"/>
  <c r="N7" i="13"/>
  <c r="J8" i="14"/>
  <c r="N7" i="14"/>
  <c r="K8" i="14"/>
  <c r="L4" i="14"/>
  <c r="L4" i="13"/>
  <c r="K8" i="13"/>
  <c r="K8" i="9"/>
  <c r="L4" i="9"/>
  <c r="I7" i="2"/>
  <c r="J7" i="2" s="1"/>
  <c r="K7" i="2" s="1"/>
  <c r="L7" i="2" s="1"/>
  <c r="M7" i="2" s="1"/>
  <c r="M6" i="2"/>
  <c r="N6" i="2" s="1"/>
  <c r="N5" i="2"/>
  <c r="L8" i="14" l="1"/>
  <c r="M4" i="14"/>
  <c r="M4" i="13"/>
  <c r="M8" i="13" s="1"/>
  <c r="L8" i="13"/>
  <c r="L8" i="9"/>
  <c r="M4" i="9"/>
  <c r="M8" i="9" s="1"/>
  <c r="I8" i="2"/>
  <c r="J8" i="2"/>
  <c r="N7" i="2"/>
  <c r="K4" i="2"/>
  <c r="N4" i="13" l="1"/>
  <c r="N8" i="13" s="1"/>
  <c r="N4" i="9"/>
  <c r="N8" i="9" s="1"/>
  <c r="M8" i="14"/>
  <c r="N4" i="14"/>
  <c r="N8" i="14" s="1"/>
  <c r="L4" i="2"/>
  <c r="K8" i="2"/>
  <c r="M4" i="2" l="1"/>
  <c r="M8" i="2" s="1"/>
  <c r="L8" i="2"/>
  <c r="N4" i="2" l="1"/>
  <c r="N8"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<sst xmlns="http://schemas.openxmlformats.org/spreadsheetml/2006/main" count="424" uniqueCount="163">
  <si>
    <t>Category ID</t>
  </si>
  <si>
    <t>MSRP Source Link/Ref</t>
  </si>
  <si>
    <t>CAT-1</t>
  </si>
  <si>
    <t>[Link to Public Catalog]</t>
  </si>
  <si>
    <t>CAT-2</t>
  </si>
  <si>
    <t>CAT-3</t>
  </si>
  <si>
    <t>CAT-4</t>
  </si>
  <si>
    <t>CAT-5</t>
  </si>
  <si>
    <t>CAT-6</t>
  </si>
  <si>
    <t>Functional
Sub-Category</t>
  </si>
  <si>
    <t>Proposers must complete this for each Scenario (A, B, C, or D) they are bidding. The "Year 1-5" columns must be editable formulas.</t>
  </si>
  <si>
    <t>Item Description</t>
  </si>
  <si>
    <t>Model #</t>
  </si>
  <si>
    <t>Category Ref</t>
  </si>
  <si>
    <t>MSRP</t>
  </si>
  <si>
    <t>Contract Price (MSRP - Disc%)</t>
  </si>
  <si>
    <t>Qty</t>
  </si>
  <si>
    <t>Year 1 Cost</t>
  </si>
  <si>
    <t>5-Year TCO Total</t>
  </si>
  <si>
    <t>Example: Gen 5 BWC</t>
  </si>
  <si>
    <t>BWC-100</t>
  </si>
  <si>
    <t>Example: Cloud Storage</t>
  </si>
  <si>
    <t>SaaS-Pro</t>
  </si>
  <si>
    <t>SCENARIO TOTALS</t>
  </si>
  <si>
    <t>Year 2 Cost</t>
  </si>
  <si>
    <t>Year 3 Cost</t>
  </si>
  <si>
    <t>Year 4 Cost</t>
  </si>
  <si>
    <t>Year 5 Cost</t>
  </si>
  <si>
    <t>Example: Setup</t>
  </si>
  <si>
    <t>UOM</t>
  </si>
  <si>
    <t>Month</t>
  </si>
  <si>
    <t>Hour</t>
  </si>
  <si>
    <t>Phase</t>
  </si>
  <si>
    <t>Action Item</t>
  </si>
  <si>
    <t>Lead Role / Department</t>
  </si>
  <si>
    <t>Standard Timeline</t>
  </si>
  <si>
    <t>1. Inquiry</t>
  </si>
  <si>
    <t>Quote Generation</t>
  </si>
  <si>
    <t>Account Manager</t>
  </si>
  <si>
    <t>48 Hours</t>
  </si>
  <si>
    <t>Validated Quote (MSRP vs. Disc)</t>
  </si>
  <si>
    <t>2. Fulfillment</t>
  </si>
  <si>
    <t>Order Processing</t>
  </si>
  <si>
    <t>Logistics/Fulfillment</t>
  </si>
  <si>
    <t>10 Business Days</t>
  </si>
  <si>
    <t>Tracking/Shipping Manifest</t>
  </si>
  <si>
    <t>3. Deployment</t>
  </si>
  <si>
    <t>Onboarding/Install</t>
  </si>
  <si>
    <t>Implementation Eng.</t>
  </si>
  <si>
    <t>5-15 Days</t>
  </si>
  <si>
    <t>Fully Configured Solution</t>
  </si>
  <si>
    <t>4. Training</t>
  </si>
  <si>
    <t>Train-the-Trainer</t>
  </si>
  <si>
    <t>Training Specialist</t>
  </si>
  <si>
    <t>Per Schedule</t>
  </si>
  <si>
    <t>Certificates/Manuals</t>
  </si>
  <si>
    <t>5. Support</t>
  </si>
  <si>
    <t>SLA Support</t>
  </si>
  <si>
    <t>Tech Support Tier II</t>
  </si>
  <si>
    <t>Per SLA</t>
  </si>
  <si>
    <t>Resolution/RMA</t>
  </si>
  <si>
    <t>Deliverable for Purchaser</t>
  </si>
  <si>
    <t>CAT-6 a</t>
  </si>
  <si>
    <t>Remedial Training</t>
  </si>
  <si>
    <t>Ea</t>
  </si>
  <si>
    <t>SCENARIO:</t>
  </si>
  <si>
    <t>CUSTOM ABC Service</t>
  </si>
  <si>
    <t>This tab establishes the "Price Ceiling" for the life of the contract.  Sub-categories may be specified for any exceptions to the broad category list.  Items quoted which are not listed hereunder will not be considered under contract unless specifically referencing the related Category ID of discount applied.</t>
  </si>
  <si>
    <r>
      <t xml:space="preserve">Model #
</t>
    </r>
    <r>
      <rPr>
        <b/>
        <sz val="8"/>
        <color theme="5" tint="0.79998168889431442"/>
        <rFont val="Arial"/>
        <family val="2"/>
      </rPr>
      <t>(Invoice Reference)</t>
    </r>
  </si>
  <si>
    <t>Instructions for Proposers:</t>
  </si>
  <si>
    <t>XYZ 24/7 Support</t>
  </si>
  <si>
    <r>
      <rPr>
        <b/>
        <u/>
        <sz val="11"/>
        <color theme="5" tint="0.79998168889431442"/>
        <rFont val="Arial"/>
        <family val="2"/>
      </rPr>
      <t>Minimum</t>
    </r>
    <r>
      <rPr>
        <b/>
        <sz val="11"/>
        <color theme="5" tint="0.79998168889431442"/>
        <rFont val="Arial"/>
        <family val="2"/>
      </rPr>
      <t xml:space="preserve"> % Discount off MSRP
or Discount</t>
    </r>
  </si>
  <si>
    <t>Example: Hardware Refresh</t>
  </si>
  <si>
    <t>ea</t>
  </si>
  <si>
    <t>3 YR BWC-100 REFRESH</t>
  </si>
  <si>
    <t>*CAT-1 Hardware includes a 3% MAX price adjustment annually.</t>
  </si>
  <si>
    <t>A</t>
  </si>
  <si>
    <r>
      <t>3. Pricing Stability:</t>
    </r>
    <r>
      <rPr>
        <sz val="11"/>
        <color theme="1"/>
        <rFont val="Times New Roman"/>
        <family val="1"/>
      </rPr>
      <t xml:space="preserve"> Proposers must include a statement on the Category Discount Table: </t>
    </r>
    <r>
      <rPr>
        <i/>
        <sz val="11"/>
        <color theme="1"/>
        <rFont val="Times New Roman"/>
        <family val="1"/>
      </rPr>
      <t>"All discounts offered in Tab 1 are firm-fixed for the initial term of the contract,"</t>
    </r>
    <r>
      <rPr>
        <sz val="11"/>
        <color theme="1"/>
        <rFont val="Times New Roman"/>
        <family val="1"/>
      </rPr>
      <t xml:space="preserve"> or offered pricing terms.</t>
    </r>
  </si>
  <si>
    <r>
      <t>6. Managing Different Discount Tiers:</t>
    </r>
    <r>
      <rPr>
        <sz val="11"/>
        <color theme="1"/>
        <rFont val="Times New Roman"/>
        <family val="1"/>
      </rPr>
      <t xml:space="preserve"> If a vendor has a specific product line, a high-cost third-party component, or a specialized fee that they cannot discount at the standard category rate, they have two choices during the bid phase:</t>
    </r>
  </si>
  <si>
    <r>
      <t xml:space="preserve">7. Preventing "Off-Contract" Fees: </t>
    </r>
    <r>
      <rPr>
        <sz val="11"/>
        <color theme="1"/>
        <rFont val="Times New Roman"/>
        <family val="1"/>
      </rPr>
      <t>Any fee, accessory, or service that does not clearly fall under one of the awarded categories or sub-categories is considered "off-contract." This prevents a vendor from introducing "Administrative Fees," "Convenience Charges," or new service types later in the term that weren't subjected to the initial competitive discount.</t>
    </r>
  </si>
  <si>
    <t>TAB 1 Discount Category Table</t>
  </si>
  <si>
    <t>TAB 3 Order Workflow</t>
  </si>
  <si>
    <t>MSRP Source or Equivalent Link/Ref</t>
  </si>
  <si>
    <t>Scenario A: Video Evidence (BWC &amp; In-Car)</t>
  </si>
  <si>
    <t>For vendors proposing Body-Worn Cameras, In-Car Video, or DEMS.</t>
  </si>
  <si>
    <r>
      <t>·</t>
    </r>
    <r>
      <rPr>
        <sz val="7"/>
        <color theme="1"/>
        <rFont val="Times New Roman"/>
        <family val="1"/>
      </rPr>
      <t xml:space="preserve">         </t>
    </r>
    <r>
      <rPr>
        <sz val="12"/>
        <color theme="1"/>
        <rFont val="Times New Roman"/>
        <family val="1"/>
      </rPr>
      <t>Hardware: 50 Body-Worn Cameras (with 5 multi-unit docks) and 10 In-Car Dual-Camera Systems.</t>
    </r>
  </si>
  <si>
    <r>
      <t>·</t>
    </r>
    <r>
      <rPr>
        <sz val="7"/>
        <color theme="1"/>
        <rFont val="Times New Roman"/>
        <family val="1"/>
      </rPr>
      <t xml:space="preserve">         </t>
    </r>
    <r>
      <rPr>
        <sz val="12"/>
        <color theme="1"/>
        <rFont val="Times New Roman"/>
        <family val="1"/>
      </rPr>
      <t>Storage: 5 Years of Unlimited Cloud Storage for 60 total users.</t>
    </r>
  </si>
  <si>
    <r>
      <t>·</t>
    </r>
    <r>
      <rPr>
        <sz val="7"/>
        <color theme="1"/>
        <rFont val="Times New Roman"/>
        <family val="1"/>
      </rPr>
      <t xml:space="preserve">         </t>
    </r>
    <r>
      <rPr>
        <sz val="12"/>
        <color theme="1"/>
        <rFont val="Times New Roman"/>
        <family val="1"/>
      </rPr>
      <t>Service: 5 Years of 24/7 support and 1 hardware refresh at Month 36.</t>
    </r>
  </si>
  <si>
    <r>
      <t>·</t>
    </r>
    <r>
      <rPr>
        <sz val="7"/>
        <color theme="1"/>
        <rFont val="Times New Roman"/>
        <family val="1"/>
      </rPr>
      <t xml:space="preserve">         </t>
    </r>
    <r>
      <rPr>
        <sz val="12"/>
        <color theme="1"/>
        <rFont val="Times New Roman"/>
        <family val="1"/>
      </rPr>
      <t>Training: 2 days of on-site "Train-the-Trainer" for 5 staff members.</t>
    </r>
  </si>
  <si>
    <t>Scenario C: Automated License Plate Recognition (ALPR)</t>
  </si>
  <si>
    <t>For vendors proposing fixed or mobile license plate reading solutions.</t>
  </si>
  <si>
    <r>
      <t>·</t>
    </r>
    <r>
      <rPr>
        <sz val="7"/>
        <color theme="1"/>
        <rFont val="Times New Roman"/>
        <family val="1"/>
      </rPr>
      <t xml:space="preserve">         </t>
    </r>
    <r>
      <rPr>
        <sz val="12"/>
        <color theme="1"/>
        <rFont val="Times New Roman"/>
        <family val="1"/>
      </rPr>
      <t>Hardware: 5 "Fixed Site" Solar/AC LPR units and 2 "Mobile" vehicle-mounted LPR kits.</t>
    </r>
  </si>
  <si>
    <r>
      <t>·</t>
    </r>
    <r>
      <rPr>
        <sz val="7"/>
        <color theme="1"/>
        <rFont val="Times New Roman"/>
        <family val="1"/>
      </rPr>
      <t xml:space="preserve">         </t>
    </r>
    <r>
      <rPr>
        <sz val="12"/>
        <color theme="1"/>
        <rFont val="Times New Roman"/>
        <family val="1"/>
      </rPr>
      <t>Software: 5-year data hosting and analytical software subscription for an unlimited number of agency users.</t>
    </r>
  </si>
  <si>
    <r>
      <t>·</t>
    </r>
    <r>
      <rPr>
        <sz val="7"/>
        <color theme="1"/>
        <rFont val="Times New Roman"/>
        <family val="1"/>
      </rPr>
      <t xml:space="preserve">         </t>
    </r>
    <r>
      <rPr>
        <sz val="12"/>
        <color theme="1"/>
        <rFont val="Times New Roman"/>
        <family val="1"/>
      </rPr>
      <t>Service: 5 Years of cellular data connectivity (if required) and 24/7 hardware monitoring.</t>
    </r>
  </si>
  <si>
    <r>
      <t>·</t>
    </r>
    <r>
      <rPr>
        <sz val="7"/>
        <color theme="1"/>
        <rFont val="Times New Roman"/>
        <family val="1"/>
      </rPr>
      <t xml:space="preserve">         </t>
    </r>
    <r>
      <rPr>
        <sz val="12"/>
        <color theme="1"/>
        <rFont val="Times New Roman"/>
        <family val="1"/>
      </rPr>
      <t>Training: Remote "Admin &amp; Investigative User" training for up to 10 staff members.</t>
    </r>
  </si>
  <si>
    <t>Scenario D: Specialized/Other Situational Awareness Technologies</t>
  </si>
  <si>
    <t>For vendors proposing technologies not covered by above (e.g., Gunshot Detection, AI Analytics, specialized sensor networks, or tactical surveillance).</t>
  </si>
  <si>
    <r>
      <t>·</t>
    </r>
    <r>
      <rPr>
        <sz val="7"/>
        <color theme="1"/>
        <rFont val="Times New Roman"/>
        <family val="1"/>
      </rPr>
      <t xml:space="preserve">      </t>
    </r>
    <r>
      <rPr>
        <sz val="12"/>
        <color theme="1"/>
        <rFont val="Times New Roman"/>
        <family val="1"/>
      </rPr>
      <t>Hardware/Sensors: 10 "Standard Units" or "Sensor Sites." Include all mounting hardware, specialized enclosures, and initial connectivity components (e.g., gateways/routers) required for a complete deployment.</t>
    </r>
  </si>
  <si>
    <r>
      <t>·</t>
    </r>
    <r>
      <rPr>
        <sz val="7"/>
        <color theme="1"/>
        <rFont val="Times New Roman"/>
        <family val="1"/>
      </rPr>
      <t xml:space="preserve">      </t>
    </r>
    <r>
      <rPr>
        <sz val="12"/>
        <color theme="1"/>
        <rFont val="Times New Roman"/>
        <family val="1"/>
      </rPr>
      <t>Software/Platform: 5-year enterprise or per-unit subscription for the core platform, including all analytical features and data hosting.</t>
    </r>
  </si>
  <si>
    <r>
      <t>·</t>
    </r>
    <r>
      <rPr>
        <sz val="7"/>
        <color theme="1"/>
        <rFont val="Times New Roman"/>
        <family val="1"/>
      </rPr>
      <t xml:space="preserve">      </t>
    </r>
    <r>
      <rPr>
        <sz val="12"/>
        <color theme="1"/>
        <rFont val="Times New Roman"/>
        <family val="1"/>
      </rPr>
      <t>Service &amp; Maintenance: 5 Years of 24/7 technical support and a 5-year hardware warranty or maintenance agreement (including firmware/software updates).</t>
    </r>
  </si>
  <si>
    <r>
      <t>·</t>
    </r>
    <r>
      <rPr>
        <sz val="7"/>
        <color theme="1"/>
        <rFont val="Times New Roman"/>
        <family val="1"/>
      </rPr>
      <t xml:space="preserve">      </t>
    </r>
    <r>
      <rPr>
        <sz val="12"/>
        <color theme="1"/>
        <rFont val="Times New Roman"/>
        <family val="1"/>
      </rPr>
      <t>Training: Comprehensive remote or on-site user training for 10 "Power Users" or System Administrators.</t>
    </r>
  </si>
  <si>
    <r>
      <t>·</t>
    </r>
    <r>
      <rPr>
        <sz val="7"/>
        <color theme="1"/>
        <rFont val="Times New Roman"/>
        <family val="1"/>
      </rPr>
      <t xml:space="preserve">      </t>
    </r>
    <r>
      <rPr>
        <sz val="12"/>
        <color theme="1"/>
        <rFont val="Times New Roman"/>
        <family val="1"/>
      </rPr>
      <t>Implementation: including project management, remote system configuration, and data integration services.</t>
    </r>
  </si>
  <si>
    <t>D</t>
  </si>
  <si>
    <t>C</t>
  </si>
  <si>
    <t>B</t>
  </si>
  <si>
    <t>TAB 2 Evaluation Scenario Template(s)</t>
  </si>
  <si>
    <t>Primary Hardware</t>
  </si>
  <si>
    <t>Parts &amp; Accessores</t>
  </si>
  <si>
    <t>Software / SaaS</t>
  </si>
  <si>
    <t>Support &amp; Maintenance</t>
  </si>
  <si>
    <t>Training</t>
  </si>
  <si>
    <t>CAT-5 a</t>
  </si>
  <si>
    <t>CAT-5 b</t>
  </si>
  <si>
    <t>CAT-5c</t>
  </si>
  <si>
    <t>Professional Services</t>
  </si>
  <si>
    <t>OnSite Support Services</t>
  </si>
  <si>
    <t>CAT-4 a</t>
  </si>
  <si>
    <t>TCO PACKAGE EXAMPLES</t>
  </si>
  <si>
    <t>PRIMARY TECHNOLOGY ECOSYSTEM :</t>
  </si>
  <si>
    <t>Category 1 – Digital Evidence and Body Worn Camera (BWC) systems</t>
  </si>
  <si>
    <t>Category 2 – Unmanned Aircraft Systems (UAS)</t>
  </si>
  <si>
    <t>Category 3 – License Plate Recognition (LPR/ALPR)</t>
  </si>
  <si>
    <t>Category 4 – Environmental &amp; Acoustic Systems</t>
  </si>
  <si>
    <t>COMPANY SUBMITTING :</t>
  </si>
  <si>
    <r>
      <t>2. Audit Match:</t>
    </r>
    <r>
      <rPr>
        <sz val="11"/>
        <color theme="1"/>
        <rFont val="Times New Roman"/>
        <family val="1"/>
      </rPr>
      <t xml:space="preserve"> The </t>
    </r>
    <r>
      <rPr>
        <b/>
        <sz val="11"/>
        <color theme="1"/>
        <rFont val="Times New Roman"/>
        <family val="1"/>
      </rPr>
      <t>"5-Year TCO Total"</t>
    </r>
    <r>
      <rPr>
        <sz val="11"/>
        <color theme="1"/>
        <rFont val="Times New Roman"/>
        <family val="1"/>
      </rPr>
      <t xml:space="preserve"> in 'Evaluation Scenario' must exactly match the total on your submitted </t>
    </r>
    <r>
      <rPr>
        <b/>
        <sz val="11"/>
        <color theme="1"/>
        <rFont val="Times New Roman"/>
        <family val="1"/>
      </rPr>
      <t>Mock Quote</t>
    </r>
    <r>
      <rPr>
        <sz val="11"/>
        <color theme="1"/>
        <rFont val="Times New Roman"/>
        <family val="1"/>
      </rPr>
      <t xml:space="preserve"> and the initial year calculations on your </t>
    </r>
    <r>
      <rPr>
        <b/>
        <sz val="11"/>
        <color theme="1"/>
        <rFont val="Times New Roman"/>
        <family val="1"/>
      </rPr>
      <t>Mock Invoice for each Primary Technology Ecosystem offered.</t>
    </r>
  </si>
  <si>
    <t>Component
Description</t>
  </si>
  <si>
    <t>[Enter Company Name Here]</t>
  </si>
  <si>
    <r>
      <rPr>
        <sz val="11"/>
        <color theme="1"/>
        <rFont val="Times New Roman"/>
        <family val="1"/>
      </rPr>
      <t xml:space="preserve">[Please select Category for </t>
    </r>
    <r>
      <rPr>
        <b/>
        <sz val="11"/>
        <color theme="1"/>
        <rFont val="Times New Roman"/>
        <family val="1"/>
      </rPr>
      <t>THIS</t>
    </r>
    <r>
      <rPr>
        <sz val="11"/>
        <color theme="1"/>
        <rFont val="Times New Roman"/>
        <family val="1"/>
      </rPr>
      <t xml:space="preserve"> discount submission.]</t>
    </r>
  </si>
  <si>
    <t>Qantitty</t>
  </si>
  <si>
    <t>10 Units</t>
  </si>
  <si>
    <t>100 Units</t>
  </si>
  <si>
    <t>500 Units</t>
  </si>
  <si>
    <t xml:space="preserve">Average Anchor Discount: </t>
  </si>
  <si>
    <t>Total Qty</t>
  </si>
  <si>
    <t xml:space="preserve"> Anchor-Point tiered discount table</t>
  </si>
  <si>
    <r>
      <t>4. Quantity Tiers:</t>
    </r>
    <r>
      <rPr>
        <sz val="11"/>
        <color theme="1"/>
        <rFont val="Times New Roman"/>
        <family val="1"/>
      </rPr>
      <t xml:space="preserve"> If you offer deeper discounts for volume (e.g., 500+ units), include within the supplemental table next to the Minimum Discount Table in Tab 1.  If you do not, please enter 0 in each tier and the minimum will apply to all quantity purchases.</t>
    </r>
  </si>
  <si>
    <r>
      <t>4. Categories:</t>
    </r>
    <r>
      <rPr>
        <sz val="11"/>
        <color theme="1"/>
        <rFont val="Times New Roman"/>
        <family val="1"/>
      </rPr>
      <t xml:space="preserve"> Only Categories or proposed sub-categories defined in Tab 1 are available to utilize in the Evaluation Scenario .  This is to ensure that potential items necessary to bill for a fully functional go-live solution are not omitted from within the proposer defined contract scope.</t>
    </r>
    <r>
      <rPr>
        <b/>
        <sz val="11"/>
        <color theme="1"/>
        <rFont val="Times New Roman"/>
        <family val="1"/>
      </rPr>
      <t xml:space="preserve"> Discount Category Table can be completed for each Primary Technology Ecosystem offered.  Sub-Categegories may be added to encompass the entirety of ecosystem requirements.</t>
    </r>
  </si>
  <si>
    <r>
      <t>Create a Sub-Category:</t>
    </r>
    <r>
      <rPr>
        <sz val="11"/>
        <color theme="1"/>
        <rFont val="Times New Roman"/>
        <family val="1"/>
      </rPr>
      <t xml:space="preserve"> They must list that specific item type as its own sub-category in the </t>
    </r>
    <r>
      <rPr>
        <b/>
        <sz val="11"/>
        <color theme="1"/>
        <rFont val="Times New Roman"/>
        <family val="1"/>
      </rPr>
      <t>Category Discount Table</t>
    </r>
    <r>
      <rPr>
        <sz val="11"/>
        <color theme="1"/>
        <rFont val="Times New Roman"/>
        <family val="1"/>
      </rPr>
      <t xml:space="preserve"> with its own specific minimum discount.</t>
    </r>
  </si>
  <si>
    <r>
      <t>Accept the Category Rate:</t>
    </r>
    <r>
      <rPr>
        <sz val="11"/>
        <color theme="1"/>
        <rFont val="Times New Roman"/>
        <family val="1"/>
      </rPr>
      <t xml:space="preserve"> If they do not break it out as a sub-category, the item defaults to the broader category's discount. If they cannot afford to sell the item at that higher discount, they effectively cannot sell that item under this contract vehicle until a change order to the contract has been approved.</t>
    </r>
  </si>
  <si>
    <t>▼ You may add proposer-defined sub-categories as required to this table.</t>
  </si>
  <si>
    <t>[Please select Category for THIS discount submission.]</t>
  </si>
  <si>
    <t>xx/xx/xxxx</t>
  </si>
  <si>
    <t>Base Rate</t>
  </si>
  <si>
    <t>Contract Price
(Base Rate - Disc %)</t>
  </si>
  <si>
    <r>
      <t>·</t>
    </r>
    <r>
      <rPr>
        <sz val="7"/>
        <color theme="1"/>
        <rFont val="Times New Roman"/>
        <family val="1"/>
      </rPr>
      <t xml:space="preserve">         </t>
    </r>
    <r>
      <rPr>
        <sz val="12"/>
        <color theme="1"/>
        <rFont val="Times New Roman"/>
        <family val="1"/>
      </rPr>
      <t>Estimated Installation Travel: Must align with GSA rates for Tampa, FL. Markups are prohibited.</t>
    </r>
  </si>
  <si>
    <t>The purpose of this tab is to provide a mechanical, step-by-step map of the administrative and financial lifecycle of an order under this contract. While other sections of your proposal describe how your technology works or how you will manage the overall project, this section must focus exclusively on the transactional process. HCSO requires a clear understanding of the steps required—from the moment an Eligible Purchaser requests a quote to the final activation of support and training—to ensure price transparency and administrative efficiency.
Instructions:
Sequence: List every touchpoint in the order process in chronological order.
Discount Verification: Explicitly identify at which stage the Category Discount and any Volume Anchor Points are applied to the Base Rate/MSRP to ensure contract compliance.
HCSO Integration: Identify where HCSO-specific requirements (such as specific Purchase Order references or Workday-compatible invoicing) occur.
Completion Triggers: Define the specific event that triggers the start of the Service Level Agreement (SLA) clock and the availability of Training Modules.</t>
  </si>
  <si>
    <t>Primary Category</t>
  </si>
  <si>
    <r>
      <t>5. The "Floor" for Savings</t>
    </r>
    <r>
      <rPr>
        <sz val="11"/>
        <color theme="1"/>
        <rFont val="Times New Roman"/>
        <family val="1"/>
      </rPr>
      <t>: Every item listed on a quote—whether it is part of the initial "Day 1" purchase or a new product released three years from now—must have a discount applied that is at least equal to the awarded minimum percentage for its assigned category. While a vendor is always permitted to offer a deeper discount for a specific order, they are contractually prohibited from offering a discount lower than the awarded "ceiling."</t>
    </r>
  </si>
  <si>
    <r>
      <t>Category 1:</t>
    </r>
    <r>
      <rPr>
        <sz val="11"/>
        <color theme="1"/>
        <rFont val="Aptos Narrow"/>
        <family val="2"/>
        <scheme val="minor"/>
      </rPr>
      <t xml:space="preserve"> Digital Evidence and Body Worn Camera (BWC) systems</t>
    </r>
  </si>
  <si>
    <r>
      <t>Category 2:</t>
    </r>
    <r>
      <rPr>
        <sz val="11"/>
        <color theme="1"/>
        <rFont val="Aptos Narrow"/>
        <family val="2"/>
        <scheme val="minor"/>
      </rPr>
      <t xml:space="preserve"> Unmanned Aircraft Systems (UAS)</t>
    </r>
  </si>
  <si>
    <r>
      <t>Category 3:</t>
    </r>
    <r>
      <rPr>
        <sz val="11"/>
        <color theme="1"/>
        <rFont val="Aptos Narrow"/>
        <family val="2"/>
        <scheme val="minor"/>
      </rPr>
      <t xml:space="preserve"> License Plate Recognition (LPR/ALPR)</t>
    </r>
  </si>
  <si>
    <r>
      <t>Category 4:</t>
    </r>
    <r>
      <rPr>
        <sz val="11"/>
        <color theme="1"/>
        <rFont val="Aptos Narrow"/>
        <family val="2"/>
        <scheme val="minor"/>
      </rPr>
      <t xml:space="preserve"> Environmental &amp; Acoustic Systems</t>
    </r>
  </si>
  <si>
    <r>
      <t>Category 5:</t>
    </r>
    <r>
      <rPr>
        <sz val="11"/>
        <color theme="1"/>
        <rFont val="Aptos Narrow"/>
        <family val="2"/>
        <scheme val="minor"/>
      </rPr>
      <t xml:space="preserve"> Situational Awareness &amp; Artificial Intelligence</t>
    </r>
  </si>
  <si>
    <t>Select Ecosystem Category for this submission.</t>
  </si>
  <si>
    <t>Category 5 – Situational Awareness &amp; Artificial Intelligence</t>
  </si>
  <si>
    <t>Moral Support Potato</t>
  </si>
  <si>
    <r>
      <t>1. Editable Format:</t>
    </r>
    <r>
      <rPr>
        <sz val="11"/>
        <color theme="1"/>
        <rFont val="Times New Roman"/>
        <family val="1"/>
      </rPr>
      <t xml:space="preserve"> This file must be submitted in .xlsx or .csv format. PDF versions of this spreadsheet will be marked as non-responsive for the TCO portion of the evaluation.</t>
    </r>
    <r>
      <rPr>
        <b/>
        <sz val="11"/>
        <color theme="1"/>
        <rFont val="Times New Roman"/>
        <family val="1"/>
      </rPr>
      <t xml:space="preserve">  If available offering multiple technology category ecosystem solutions, utilize this TAB 1 - Discount Category Table as a template for each occasion.</t>
    </r>
  </si>
  <si>
    <t>EXP:</t>
  </si>
  <si>
    <t>Discount</t>
  </si>
  <si>
    <t>Sub Category</t>
  </si>
  <si>
    <t>PRICING OFFERED THROUGH</t>
  </si>
  <si>
    <t>Expiration:</t>
  </si>
  <si>
    <t>Term of Initial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</si>
</sst>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8" x14ac:knownFonts="1">
    <font>
      <sz val="11"/>
      <color theme="1"/>
      <name val="Aptos Narrow"/>
      <family val="2"/>
      <scheme val="minor"/>
    </font>
    <font>
      <b/>
      <sz val="11"/>
      <color theme="1"/>
      <name val="Aptos Narrow"/>
      <family val="2"/>
      <scheme val="minor"/>
    </font>
    <font>
      <sz val="11"/>
      <color rgb="FF1F1F1F"/>
      <name val="Arial"/>
      <family val="2"/>
    </font>
    <font>
      <b/>
      <sz val="11"/>
      <color rgb="FF1F1F1F"/>
      <name val="Arial"/>
      <family val="2"/>
    </font>
    <font>
      <b/>
      <sz val="11"/>
      <color theme="5" tint="0.79998168889431442"/>
      <name val="Arial"/>
      <family val="2"/>
    </font>
    <font>
      <sz val="11"/>
      <color theme="5" tint="0.79998168889431442"/>
      <name val="Aptos Narrow"/>
      <family val="2"/>
      <scheme val="minor"/>
    </font>
    <font>
      <i/>
      <sz val="11"/>
      <color rgb="FF1F1F1F"/>
      <name val="Arial"/>
      <family val="2"/>
    </font>
    <font>
      <b/>
      <sz val="8"/>
      <color theme="5" tint="0.79998168889431442"/>
      <name val="Arial"/>
      <family val="2"/>
    </font>
    <font>
      <b/>
      <u/>
      <sz val="11"/>
      <color theme="5" tint="0.79998168889431442"/>
      <name val="Arial"/>
      <family val="2"/>
    </font>
    <font>
      <i/>
      <sz val="11"/>
      <color rgb="FFFF0000"/>
      <name val="Arial"/>
      <family val="2"/>
    </font>
    <font>
      <b/>
      <sz val="11"/>
      <color theme="1"/>
      <name val="Times New Roman"/>
      <family val="1"/>
    </font>
    <font>
      <sz val="11"/>
      <color theme="1"/>
      <name val="Times New Roman"/>
      <family val="1"/>
    </font>
    <font>
      <i/>
      <sz val="11"/>
      <color theme="1"/>
      <name val="Times New Roman"/>
      <family val="1"/>
    </font>
    <font>
      <b/>
      <sz val="11"/>
      <color rgb="FF0070C0"/>
      <name val="Times New Roman"/>
      <family val="1"/>
    </font>
    <font>
      <sz val="12"/>
      <color theme="1"/>
      <name val="Times New Roman"/>
      <family val="1"/>
    </font>
    <font>
      <u/>
      <sz val="12"/>
      <color theme="1"/>
      <name val="Times New Roman"/>
      <family val="1"/>
    </font>
    <font>
      <i/>
      <sz val="12"/>
      <color theme="1"/>
      <name val="Times New Roman"/>
      <family val="1"/>
    </font>
    <font>
      <sz val="12"/>
      <color theme="1"/>
      <name val="Symbol"/>
      <family val="1"/>
      <charset val="2"/>
    </font>
    <font>
      <sz val="7"/>
      <color theme="1"/>
      <name val="Times New Roman"/>
      <family val="1"/>
    </font>
    <font>
      <b/>
      <sz val="11"/>
      <color theme="8" tint="-0.249977111117893"/>
      <name val="Times New Roman"/>
      <family val="1"/>
    </font>
    <font>
      <b/>
      <sz val="11"/>
      <color theme="9"/>
      <name val="Times New Roman"/>
      <family val="1"/>
    </font>
    <font>
      <b/>
      <i/>
      <sz val="11"/>
      <color rgb="FF1F1F1F"/>
      <name val="Arial"/>
      <family val="2"/>
    </font>
    <font>
      <b/>
      <sz val="20"/>
      <color theme="1"/>
      <name val="Aptos Narrow"/>
      <family val="2"/>
      <scheme val="minor"/>
    </font>
    <font>
      <b/>
      <sz val="13.5"/>
      <color theme="1"/>
      <name val="Times New Roman"/>
      <family val="1"/>
    </font>
    <font>
      <sz val="8"/>
      <name val="Aptos Narrow"/>
      <family val="2"/>
      <scheme val="minor"/>
    </font>
    <font>
      <b/>
      <sz val="11"/>
      <color theme="1"/>
      <name val="Aptos Black"/>
      <family val="2"/>
    </font>
    <font>
      <sz val="20"/>
      <color theme="1"/>
      <name val="Aptos Narrow"/>
      <family val="2"/>
      <scheme val="minor"/>
    </font>
    <font>
      <b/>
      <sz val="11"/>
      <color theme="1"/>
      <name val="Aptos"/>
      <family val="2"/>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59999389629810485"/>
        <bgColor indexed="64"/>
      </patternFill>
    </fill>
    <fill>
      <patternFill patternType="solid">
        <fgColor auto="1"/>
        <bgColor indexed="64"/>
      </patternFill>
    </fill>
  </fills>
  <borders count="27">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top/>
      <bottom style="double">
        <color auto="1"/>
      </bottom>
      <diagonal/>
    </border>
  </borders>
  <cellStyleXfs count="1">
    <xf numFmtId="0" fontId="0" fillId="0" borderId="0"/>
  </cellStyleXfs>
  <cellXfs count="143">
    <xf numFmtId="0" fontId="0" fillId="0" borderId="0" xfId="0"/>
    <xf numFmtId="0" fontId="3" fillId="0" borderId="1" xfId="0" applyFont="1" applyBorder="1" applyAlignment="1">
      <alignment horizontal="right" vertical="center" wrapText="1" indent="1" readingOrder="1"/>
    </xf>
    <xf numFmtId="0" fontId="2" fillId="0" borderId="1" xfId="0" applyFont="1" applyBorder="1" applyAlignment="1">
      <alignment horizontal="center" vertical="center" wrapText="1" readingOrder="1"/>
    </xf>
    <xf numFmtId="0" fontId="2" fillId="0" borderId="3" xfId="0" applyFont="1" applyBorder="1" applyAlignment="1">
      <alignment horizontal="center" vertical="center" wrapText="1" readingOrder="1"/>
    </xf>
    <xf numFmtId="0" fontId="3" fillId="0" borderId="8" xfId="0" applyFont="1" applyBorder="1" applyAlignment="1">
      <alignment horizontal="right" vertical="center" wrapText="1" indent="1" readingOrder="1"/>
    </xf>
    <xf numFmtId="0" fontId="2" fillId="0" borderId="8" xfId="0" applyFont="1" applyBorder="1" applyAlignment="1">
      <alignment horizontal="center" vertical="center" wrapText="1" readingOrder="1"/>
    </xf>
    <xf numFmtId="0" fontId="2" fillId="0" borderId="9" xfId="0" applyFont="1" applyBorder="1" applyAlignment="1">
      <alignment horizontal="center" vertical="center" wrapText="1" readingOrder="1"/>
    </xf>
    <xf numFmtId="0" fontId="3" fillId="0" borderId="7" xfId="0" applyFont="1" applyBorder="1" applyAlignment="1">
      <alignment horizontal="left" vertical="center" wrapText="1" indent="1" readingOrder="1"/>
    </xf>
    <xf numFmtId="0" fontId="3" fillId="0" borderId="2" xfId="0" applyFont="1" applyBorder="1" applyAlignment="1">
      <alignment horizontal="left" vertical="center" wrapText="1" indent="1" readingOrder="1"/>
    </xf>
    <xf numFmtId="0" fontId="0" fillId="0" borderId="0" xfId="0" applyAlignment="1">
      <alignment horizontal="left"/>
    </xf>
    <xf numFmtId="0" fontId="4" fillId="0" borderId="4" xfId="0" applyFont="1" applyBorder="1" applyAlignment="1">
      <alignment horizontal="left" vertical="center" wrapText="1" indent="1" readingOrder="1"/>
    </xf>
    <xf numFmtId="0" fontId="4" fillId="0" borderId="5" xfId="0" applyFont="1" applyBorder="1" applyAlignment="1">
      <alignment horizontal="right" vertical="center" wrapText="1" indent="1" readingOrder="1"/>
    </xf>
    <xf numFmtId="0" fontId="4" fillId="0" borderId="6" xfId="0" applyFont="1" applyBorder="1" applyAlignment="1">
      <alignment vertical="center" wrapText="1" readingOrder="1"/>
    </xf>
    <xf numFmtId="0" fontId="5" fillId="0" borderId="0" xfId="0" applyFont="1"/>
    <xf numFmtId="0" fontId="6" fillId="0" borderId="1" xfId="0" applyFont="1" applyBorder="1" applyAlignment="1">
      <alignment horizontal="right" vertical="center" wrapText="1" indent="1" readingOrder="1"/>
    </xf>
    <xf numFmtId="8" fontId="6" fillId="0" borderId="1" xfId="0" applyNumberFormat="1" applyFont="1" applyBorder="1" applyAlignment="1">
      <alignment horizontal="right" vertical="center" wrapText="1" indent="1" readingOrder="1"/>
    </xf>
    <xf numFmtId="6" fontId="6" fillId="0" borderId="1" xfId="0" applyNumberFormat="1" applyFont="1" applyBorder="1" applyAlignment="1">
      <alignment horizontal="right" vertical="center" wrapText="1" indent="1" readingOrder="1"/>
    </xf>
    <xf numFmtId="0" fontId="6" fillId="0" borderId="2" xfId="0" applyFont="1" applyBorder="1" applyAlignment="1">
      <alignment horizontal="right" vertical="center" wrapText="1" indent="1" readingOrder="1"/>
    </xf>
    <xf numFmtId="6" fontId="3" fillId="0" borderId="3" xfId="0" applyNumberFormat="1" applyFont="1" applyBorder="1" applyAlignment="1">
      <alignment vertical="center" wrapText="1" readingOrder="1"/>
    </xf>
    <xf numFmtId="0" fontId="2" fillId="0" borderId="8" xfId="0" applyFont="1" applyBorder="1" applyAlignment="1">
      <alignment horizontal="right" vertical="center" wrapText="1" indent="1" readingOrder="1"/>
    </xf>
    <xf numFmtId="6" fontId="3" fillId="0" borderId="8" xfId="0" applyNumberFormat="1" applyFont="1" applyBorder="1" applyAlignment="1">
      <alignment horizontal="right" vertical="center" wrapText="1" indent="1" readingOrder="1"/>
    </xf>
    <xf numFmtId="6" fontId="3" fillId="0" borderId="9" xfId="0" applyNumberFormat="1" applyFont="1" applyBorder="1" applyAlignment="1">
      <alignment vertical="center" wrapText="1" readingOrder="1"/>
    </xf>
    <xf numFmtId="0" fontId="4" fillId="0" borderId="4" xfId="0" applyFont="1" applyBorder="1" applyAlignment="1">
      <alignment horizontal="right" vertical="center" wrapText="1" indent="1" readingOrder="1"/>
    </xf>
    <xf numFmtId="0" fontId="4" fillId="0" borderId="5" xfId="0" applyFont="1" applyBorder="1" applyAlignment="1">
      <alignment horizontal="center" vertical="center" wrapText="1" readingOrder="1"/>
    </xf>
    <xf numFmtId="0" fontId="0" fillId="0" borderId="0" xfId="0" applyAlignment="1">
      <alignment horizontal="center"/>
    </xf>
    <xf numFmtId="8" fontId="6"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6" fontId="3" fillId="0" borderId="7" xfId="0" applyNumberFormat="1" applyFont="1" applyBorder="1" applyAlignment="1">
      <alignment horizontal="right" vertical="center" wrapText="1" indent="1" readingOrder="1"/>
    </xf>
    <xf numFmtId="0" fontId="6" fillId="0" borderId="8" xfId="0" applyFont="1" applyBorder="1" applyAlignment="1">
      <alignment horizontal="right" vertical="center" wrapText="1" indent="1" readingOrder="1"/>
    </xf>
    <xf numFmtId="0" fontId="6" fillId="0" borderId="8" xfId="0" applyFont="1" applyBorder="1" applyAlignment="1">
      <alignment horizontal="center" vertical="center" wrapText="1" readingOrder="1"/>
    </xf>
    <xf numFmtId="8" fontId="6" fillId="0" borderId="8" xfId="0" applyNumberFormat="1" applyFont="1" applyBorder="1" applyAlignment="1">
      <alignment horizontal="right" vertical="center" wrapText="1" indent="1" readingOrder="1"/>
    </xf>
    <xf numFmtId="0" fontId="2" fillId="0" borderId="11" xfId="0" applyFont="1" applyBorder="1" applyAlignment="1">
      <alignment horizontal="right" vertical="center" wrapText="1" indent="1" readingOrder="1"/>
    </xf>
    <xf numFmtId="0" fontId="2" fillId="0" borderId="11" xfId="0" applyFont="1" applyBorder="1" applyAlignment="1">
      <alignment horizontal="center" vertical="center" wrapText="1" readingOrder="1"/>
    </xf>
    <xf numFmtId="0" fontId="2" fillId="0" borderId="12" xfId="0" applyFont="1" applyBorder="1" applyAlignment="1">
      <alignment horizontal="right" vertical="center" wrapText="1" indent="1" readingOrder="1"/>
    </xf>
    <xf numFmtId="0" fontId="6" fillId="0" borderId="7" xfId="0" applyFont="1" applyBorder="1" applyAlignment="1">
      <alignment horizontal="right" vertical="center" wrapText="1" indent="1" readingOrder="1"/>
    </xf>
    <xf numFmtId="0" fontId="3" fillId="0" borderId="10" xfId="0" applyFont="1" applyBorder="1" applyAlignment="1">
      <alignment horizontal="right" vertical="center" wrapText="1" indent="1" readingOrder="1"/>
    </xf>
    <xf numFmtId="0" fontId="1" fillId="0" borderId="0" xfId="0" applyFont="1" applyAlignment="1">
      <alignment horizontal="right"/>
    </xf>
    <xf numFmtId="0" fontId="0" fillId="0" borderId="13" xfId="0" applyBorder="1"/>
    <xf numFmtId="0" fontId="0" fillId="0" borderId="13" xfId="0" applyBorder="1" applyAlignment="1">
      <alignment horizontal="center"/>
    </xf>
    <xf numFmtId="0" fontId="4" fillId="0" borderId="6" xfId="0" applyFont="1" applyBorder="1" applyAlignment="1">
      <alignment horizontal="center" vertical="center" wrapText="1" readingOrder="1"/>
    </xf>
    <xf numFmtId="8" fontId="6" fillId="0" borderId="8" xfId="0" applyNumberFormat="1" applyFont="1" applyBorder="1" applyAlignment="1">
      <alignment horizontal="center" vertical="center" wrapText="1" readingOrder="1"/>
    </xf>
    <xf numFmtId="6" fontId="6" fillId="0" borderId="8" xfId="0" applyNumberFormat="1" applyFont="1" applyBorder="1" applyAlignment="1">
      <alignment horizontal="right" vertical="center" wrapText="1" indent="1" readingOrder="1"/>
    </xf>
    <xf numFmtId="0" fontId="2" fillId="0" borderId="0" xfId="0" applyFont="1" applyAlignment="1">
      <alignment horizontal="right" vertical="center" wrapText="1" indent="1" readingOrder="1"/>
    </xf>
    <xf numFmtId="0" fontId="2" fillId="0" borderId="7" xfId="0" applyFont="1" applyBorder="1" applyAlignment="1">
      <alignment horizontal="right" vertical="center" wrapText="1" indent="1" readingOrder="1"/>
    </xf>
    <xf numFmtId="0" fontId="9" fillId="0" borderId="7" xfId="0" applyFont="1" applyBorder="1" applyAlignment="1">
      <alignment horizontal="left" vertical="center" wrapText="1" indent="1" readingOrder="1"/>
    </xf>
    <xf numFmtId="0" fontId="9" fillId="0" borderId="8" xfId="0" applyFont="1" applyBorder="1" applyAlignment="1">
      <alignment horizontal="right" vertical="center" wrapText="1" indent="1" readingOrder="1"/>
    </xf>
    <xf numFmtId="0" fontId="2" fillId="0" borderId="0" xfId="0" applyFont="1" applyAlignment="1">
      <alignment vertical="center" wrapText="1" readingOrder="1"/>
    </xf>
    <xf numFmtId="0" fontId="10" fillId="2" borderId="0" xfId="0" applyFont="1" applyFill="1" applyAlignment="1">
      <alignment vertical="center"/>
    </xf>
    <xf numFmtId="0" fontId="11" fillId="2" borderId="0" xfId="0" applyFont="1" applyFill="1"/>
    <xf numFmtId="0" fontId="10" fillId="2" borderId="0" xfId="0" applyFont="1" applyFill="1"/>
    <xf numFmtId="0" fontId="11" fillId="2" borderId="0" xfId="0" applyFont="1" applyFill="1" applyAlignment="1">
      <alignment horizontal="left" vertical="center" indent="1"/>
    </xf>
    <xf numFmtId="0" fontId="13" fillId="2" borderId="0" xfId="0" applyFont="1" applyFill="1"/>
    <xf numFmtId="0" fontId="10" fillId="2" borderId="0" xfId="0" applyFont="1" applyFill="1" applyAlignment="1">
      <alignment horizontal="left" vertical="center" wrapText="1"/>
    </xf>
    <xf numFmtId="0" fontId="11" fillId="2" borderId="0" xfId="0" applyFont="1" applyFill="1" applyAlignment="1">
      <alignment horizontal="left" vertical="center"/>
    </xf>
    <xf numFmtId="0" fontId="10" fillId="2" borderId="0" xfId="0" applyFont="1" applyFill="1" applyAlignment="1">
      <alignment vertical="center" wrapText="1"/>
    </xf>
    <xf numFmtId="0" fontId="11" fillId="2" borderId="0" xfId="0" applyFont="1" applyFill="1" applyAlignment="1">
      <alignment wrapText="1"/>
    </xf>
    <xf numFmtId="0" fontId="11" fillId="2" borderId="0" xfId="0" applyFont="1" applyFill="1" applyAlignment="1">
      <alignment horizontal="left" vertical="center" wrapText="1"/>
    </xf>
    <xf numFmtId="0" fontId="10" fillId="2" borderId="0" xfId="0" applyFont="1" applyFill="1" applyAlignment="1">
      <alignment horizontal="left" vertical="center" wrapText="1" indent="2"/>
    </xf>
    <xf numFmtId="0" fontId="15" fillId="3" borderId="0" xfId="0" applyFont="1" applyFill="1" applyAlignment="1">
      <alignment horizontal="left" vertical="center" indent="6"/>
    </xf>
    <xf numFmtId="0" fontId="0" fillId="3" borderId="0" xfId="0" applyFill="1"/>
    <xf numFmtId="0" fontId="0" fillId="3" borderId="0" xfId="0" applyFill="1" applyAlignment="1">
      <alignment horizontal="center"/>
    </xf>
    <xf numFmtId="0" fontId="16" fillId="3" borderId="0" xfId="0" applyFont="1" applyFill="1" applyAlignment="1">
      <alignment horizontal="left" vertical="center" indent="6"/>
    </xf>
    <xf numFmtId="0" fontId="17" fillId="3" borderId="0" xfId="0" applyFont="1" applyFill="1" applyAlignment="1">
      <alignment horizontal="left" vertical="center" indent="12"/>
    </xf>
    <xf numFmtId="6" fontId="0" fillId="0" borderId="14" xfId="0" applyNumberFormat="1" applyBorder="1" applyAlignment="1">
      <alignment horizontal="right" vertical="center" wrapText="1" indent="1" readingOrder="1"/>
    </xf>
    <xf numFmtId="0" fontId="17" fillId="3" borderId="0" xfId="0" applyFont="1" applyFill="1" applyAlignment="1">
      <alignment horizontal="left" vertical="center" indent="10"/>
    </xf>
    <xf numFmtId="0" fontId="19" fillId="2" borderId="0" xfId="0" applyFont="1" applyFill="1"/>
    <xf numFmtId="0" fontId="20" fillId="2" borderId="0" xfId="0" applyFont="1" applyFill="1"/>
    <xf numFmtId="0" fontId="9" fillId="0" borderId="8" xfId="0" applyFont="1" applyBorder="1" applyAlignment="1">
      <alignment horizontal="center" vertical="center" wrapText="1" readingOrder="1"/>
    </xf>
    <xf numFmtId="0" fontId="9" fillId="0" borderId="3" xfId="0" applyFont="1" applyBorder="1" applyAlignment="1">
      <alignment horizontal="center" vertical="center" wrapText="1" readingOrder="1"/>
    </xf>
    <xf numFmtId="0" fontId="9" fillId="0" borderId="2" xfId="0" applyFont="1" applyBorder="1" applyAlignment="1">
      <alignment horizontal="left" vertical="center" wrapText="1" indent="1" readingOrder="1"/>
    </xf>
    <xf numFmtId="0" fontId="9" fillId="0" borderId="1" xfId="0" applyFont="1" applyBorder="1" applyAlignment="1">
      <alignment horizontal="right" vertical="center" wrapText="1" indent="1" readingOrder="1"/>
    </xf>
    <xf numFmtId="0" fontId="9" fillId="0" borderId="1" xfId="0" applyFont="1" applyBorder="1" applyAlignment="1">
      <alignment horizontal="center" vertical="center" wrapText="1" readingOrder="1"/>
    </xf>
    <xf numFmtId="0" fontId="10" fillId="2" borderId="0" xfId="0" applyFont="1" applyFill="1" applyAlignment="1">
      <alignment vertical="top" wrapText="1"/>
    </xf>
    <xf numFmtId="0" fontId="3" fillId="4" borderId="0" xfId="0" applyFont="1" applyFill="1" applyAlignment="1">
      <alignment horizontal="right" vertical="center" wrapText="1" indent="1" readingOrder="1"/>
    </xf>
    <xf numFmtId="0" fontId="14" fillId="0" borderId="0" xfId="0" applyFont="1" applyAlignment="1">
      <alignment horizontal="left" vertical="center"/>
    </xf>
    <xf numFmtId="0" fontId="3" fillId="4" borderId="0" xfId="0" applyFont="1" applyFill="1" applyAlignment="1">
      <alignment horizontal="left" vertical="center" wrapText="1" indent="1" readingOrder="1"/>
    </xf>
    <xf numFmtId="0" fontId="2" fillId="4" borderId="15" xfId="0" applyFont="1" applyFill="1" applyBorder="1" applyAlignment="1">
      <alignment vertical="center" wrapText="1" readingOrder="1"/>
    </xf>
    <xf numFmtId="0" fontId="2" fillId="4" borderId="13" xfId="0" applyFont="1" applyFill="1" applyBorder="1" applyAlignment="1">
      <alignment vertical="center" wrapText="1" readingOrder="1"/>
    </xf>
    <xf numFmtId="0" fontId="2" fillId="4" borderId="13" xfId="0" applyFont="1" applyFill="1" applyBorder="1" applyAlignment="1">
      <alignment vertical="center" readingOrder="1"/>
    </xf>
    <xf numFmtId="0" fontId="2" fillId="4" borderId="15" xfId="0" applyFont="1" applyFill="1" applyBorder="1" applyAlignment="1">
      <alignment vertical="center" readingOrder="1"/>
    </xf>
    <xf numFmtId="0" fontId="1" fillId="0" borderId="0" xfId="0" applyFont="1" applyAlignment="1">
      <alignment horizontal="left" indent="1"/>
    </xf>
    <xf numFmtId="0" fontId="22" fillId="0" borderId="13" xfId="0" applyFont="1" applyBorder="1" applyAlignment="1">
      <alignment horizontal="left" indent="1"/>
    </xf>
    <xf numFmtId="0" fontId="4" fillId="0" borderId="4" xfId="0" applyFont="1" applyBorder="1" applyAlignment="1">
      <alignment horizontal="left" vertical="center" wrapText="1" readingOrder="1"/>
    </xf>
    <xf numFmtId="0" fontId="4" fillId="0" borderId="5" xfId="0" applyFont="1" applyBorder="1" applyAlignment="1">
      <alignment horizontal="left" vertical="center" wrapText="1" readingOrder="1"/>
    </xf>
    <xf numFmtId="0" fontId="4" fillId="0" borderId="6" xfId="0" applyFont="1" applyBorder="1" applyAlignment="1">
      <alignment horizontal="left" vertical="center" wrapText="1" readingOrder="1"/>
    </xf>
    <xf numFmtId="0" fontId="3" fillId="0" borderId="2" xfId="0" applyFont="1" applyBorder="1" applyAlignment="1">
      <alignment horizontal="left" vertical="center" wrapText="1" readingOrder="1"/>
    </xf>
    <xf numFmtId="0" fontId="2" fillId="0" borderId="1" xfId="0" applyFont="1" applyBorder="1" applyAlignment="1">
      <alignment horizontal="left" vertical="center" wrapText="1" readingOrder="1"/>
    </xf>
    <xf numFmtId="0" fontId="2" fillId="0" borderId="3" xfId="0" applyFont="1" applyBorder="1" applyAlignment="1">
      <alignment horizontal="left" vertical="center" wrapText="1" readingOrder="1"/>
    </xf>
    <xf numFmtId="0" fontId="3" fillId="0" borderId="7" xfId="0" applyFont="1" applyBorder="1" applyAlignment="1">
      <alignment horizontal="left" vertical="center" wrapText="1" readingOrder="1"/>
    </xf>
    <xf numFmtId="0" fontId="2" fillId="0" borderId="8" xfId="0" applyFont="1" applyBorder="1" applyAlignment="1">
      <alignment horizontal="left" vertical="center" wrapText="1" readingOrder="1"/>
    </xf>
    <xf numFmtId="0" fontId="2" fillId="0" borderId="9" xfId="0" applyFont="1" applyBorder="1" applyAlignment="1">
      <alignment horizontal="left" vertical="center" wrapText="1" readingOrder="1"/>
    </xf>
    <xf numFmtId="0" fontId="10" fillId="0" borderId="0" xfId="0" applyFont="1" applyAlignment="1">
      <alignment horizontal="left" vertical="center" indent="1"/>
    </xf>
    <xf numFmtId="0" fontId="23" fillId="0" borderId="0" xfId="0" applyFont="1" applyAlignment="1">
      <alignment vertical="center"/>
    </xf>
    <xf numFmtId="0" fontId="11" fillId="0" borderId="0" xfId="0" applyFont="1"/>
    <xf numFmtId="0" fontId="0" fillId="0" borderId="17" xfId="0" applyBorder="1"/>
    <xf numFmtId="0" fontId="0" fillId="0" borderId="18" xfId="0" applyBorder="1"/>
    <xf numFmtId="0" fontId="0" fillId="0" borderId="14" xfId="0" applyBorder="1" applyAlignment="1">
      <alignment horizontal="center"/>
    </xf>
    <xf numFmtId="0" fontId="4" fillId="0" borderId="14" xfId="0" applyFont="1" applyBorder="1" applyAlignment="1">
      <alignment horizontal="center" vertical="center" wrapText="1" readingOrder="1"/>
    </xf>
    <xf numFmtId="0" fontId="3" fillId="0" borderId="19" xfId="0" applyFont="1" applyBorder="1" applyAlignment="1">
      <alignment horizontal="left" vertical="center" wrapText="1" indent="1" readingOrder="1"/>
    </xf>
    <xf numFmtId="0" fontId="3" fillId="0" borderId="19" xfId="0" applyFont="1" applyBorder="1" applyAlignment="1">
      <alignment horizontal="right" vertical="center" wrapText="1" indent="1" readingOrder="1"/>
    </xf>
    <xf numFmtId="0" fontId="2" fillId="0" borderId="19" xfId="0" applyFont="1" applyBorder="1" applyAlignment="1">
      <alignment horizontal="center" vertical="center" wrapText="1" readingOrder="1"/>
    </xf>
    <xf numFmtId="0" fontId="3" fillId="0" borderId="20" xfId="0" applyFont="1" applyBorder="1" applyAlignment="1">
      <alignment horizontal="left" vertical="center" wrapText="1" indent="1" readingOrder="1"/>
    </xf>
    <xf numFmtId="0" fontId="3" fillId="0" borderId="20" xfId="0" applyFont="1" applyBorder="1" applyAlignment="1">
      <alignment horizontal="right" vertical="center" wrapText="1" indent="1" readingOrder="1"/>
    </xf>
    <xf numFmtId="0" fontId="2" fillId="0" borderId="20" xfId="0" applyFont="1" applyBorder="1" applyAlignment="1">
      <alignment horizontal="center" vertical="center" wrapText="1" readingOrder="1"/>
    </xf>
    <xf numFmtId="0" fontId="4" fillId="0" borderId="21" xfId="0" applyFont="1" applyBorder="1" applyAlignment="1">
      <alignment horizontal="center" vertical="center" wrapText="1" readingOrder="1"/>
    </xf>
    <xf numFmtId="0" fontId="4" fillId="0" borderId="22" xfId="0" applyFont="1" applyBorder="1" applyAlignment="1">
      <alignment horizontal="center" vertical="center" wrapText="1" readingOrder="1"/>
    </xf>
    <xf numFmtId="0" fontId="4" fillId="0" borderId="23" xfId="0" applyFont="1" applyBorder="1" applyAlignment="1">
      <alignment horizontal="center" vertical="center" wrapText="1" readingOrder="1"/>
    </xf>
    <xf numFmtId="0" fontId="0" fillId="0" borderId="17" xfId="0" applyBorder="1" applyAlignment="1">
      <alignment horizontal="center"/>
    </xf>
    <xf numFmtId="0" fontId="0" fillId="0" borderId="18" xfId="0" applyBorder="1" applyAlignment="1">
      <alignment horizontal="center"/>
    </xf>
    <xf numFmtId="0" fontId="0" fillId="4" borderId="0" xfId="0" applyFill="1"/>
    <xf numFmtId="2" fontId="1" fillId="5" borderId="18" xfId="0" applyNumberFormat="1" applyFont="1" applyFill="1" applyBorder="1" applyAlignment="1">
      <alignment horizontal="center"/>
    </xf>
    <xf numFmtId="0" fontId="0" fillId="0" borderId="25" xfId="0" applyBorder="1"/>
    <xf numFmtId="0" fontId="0" fillId="0" borderId="25" xfId="0" applyBorder="1" applyAlignment="1">
      <alignment horizontal="center"/>
    </xf>
    <xf numFmtId="0" fontId="1" fillId="0" borderId="0" xfId="0" applyFont="1"/>
    <xf numFmtId="0" fontId="0" fillId="2" borderId="0" xfId="0" applyFill="1"/>
    <xf numFmtId="0" fontId="5" fillId="2" borderId="0" xfId="0" applyFont="1" applyFill="1"/>
    <xf numFmtId="0" fontId="0" fillId="6" borderId="0" xfId="0" applyFill="1"/>
    <xf numFmtId="0" fontId="0" fillId="6" borderId="0" xfId="0" applyFill="1" applyAlignment="1">
      <alignment horizontal="center"/>
    </xf>
    <xf numFmtId="0" fontId="5" fillId="6" borderId="0" xfId="0" applyFont="1" applyFill="1"/>
    <xf numFmtId="0" fontId="5" fillId="6" borderId="0" xfId="0" applyFont="1" applyFill="1" applyAlignment="1">
      <alignment horizontal="center"/>
    </xf>
    <xf numFmtId="0" fontId="3" fillId="2" borderId="0" xfId="0" applyFont="1" applyFill="1" applyAlignment="1">
      <alignment horizontal="left" vertical="center" wrapText="1" indent="1" readingOrder="1"/>
    </xf>
    <xf numFmtId="0" fontId="3" fillId="2" borderId="0" xfId="0" applyFont="1" applyFill="1" applyAlignment="1">
      <alignment horizontal="right" vertical="center" wrapText="1" indent="1" readingOrder="1"/>
    </xf>
    <xf numFmtId="0" fontId="2" fillId="2" borderId="0" xfId="0" applyFont="1" applyFill="1" applyAlignment="1">
      <alignment horizontal="center" vertical="center" wrapText="1" readingOrder="1"/>
    </xf>
    <xf numFmtId="0" fontId="0" fillId="2" borderId="0" xfId="0" applyFill="1" applyAlignment="1">
      <alignment horizontal="center"/>
    </xf>
    <xf numFmtId="0" fontId="1" fillId="0" borderId="13" xfId="0" applyFont="1" applyBorder="1" applyAlignment="1">
      <alignment horizontal="right"/>
    </xf>
    <xf numFmtId="0" fontId="0" fillId="2" borderId="0" xfId="0" applyFill="1" applyAlignment="1">
      <alignment horizontal="left"/>
    </xf>
    <xf numFmtId="0" fontId="5" fillId="2" borderId="0" xfId="0" applyFont="1" applyFill="1" applyAlignment="1">
      <alignment horizontal="left"/>
    </xf>
    <xf numFmtId="0" fontId="26" fillId="2" borderId="0" xfId="0" applyFont="1" applyFill="1" applyAlignment="1">
      <alignment horizontal="left"/>
    </xf>
    <xf numFmtId="0" fontId="0" fillId="2" borderId="0" xfId="0" applyFill="1" applyAlignment="1">
      <alignment horizontal="right" indent="1"/>
    </xf>
    <xf numFmtId="0" fontId="27" fillId="4" borderId="0" xfId="0" applyFont="1" applyFill="1" applyAlignment="1">
      <alignment vertical="center" wrapText="1"/>
    </xf>
    <xf numFmtId="0" fontId="25" fillId="4" borderId="0" xfId="0" applyFont="1" applyFill="1" applyAlignment="1">
      <alignment horizontal="left" vertical="center" wrapText="1" indent="3"/>
      <extLst>
        <ext xmlns:xfpb="http://schemas.microsoft.com/office/spreadsheetml/2022/featurepropertybag" uri="{C7286773-470A-42A8-94C5-96B5CB345126}">
          <xfpb:xfComplement i="0"/>
        </ext>
      </extLst>
    </xf>
    <xf numFmtId="0" fontId="25" fillId="4" borderId="0" xfId="0" applyFont="1" applyFill="1" applyAlignment="1">
      <alignment horizontal="left" vertical="center" wrapText="1"/>
    </xf>
    <xf numFmtId="0" fontId="27" fillId="4" borderId="0" xfId="0" applyFont="1" applyFill="1" applyAlignment="1">
      <alignment horizontal="right" vertical="center" wrapText="1" indent="1"/>
    </xf>
    <xf numFmtId="0" fontId="27" fillId="4" borderId="0" xfId="0" applyFont="1" applyFill="1" applyAlignment="1">
      <alignment horizontal="right" vertical="center" indent="1"/>
    </xf>
    <xf numFmtId="0" fontId="0" fillId="0" borderId="0" xfId="0" applyAlignment="1">
      <alignment horizontal="left" wrapText="1"/>
    </xf>
    <xf numFmtId="0" fontId="21" fillId="2" borderId="0" xfId="0" applyFont="1" applyFill="1" applyAlignment="1">
      <alignment horizontal="center" vertical="center" wrapText="1" readingOrder="1"/>
    </xf>
    <xf numFmtId="0" fontId="3" fillId="4" borderId="0" xfId="0" applyFont="1" applyFill="1" applyAlignment="1">
      <alignment horizontal="right" vertical="center" wrapText="1" indent="1" readingOrder="1"/>
    </xf>
    <xf numFmtId="0" fontId="1" fillId="2" borderId="0" xfId="0" applyFont="1" applyFill="1" applyAlignment="1">
      <alignment horizontal="right"/>
    </xf>
    <xf numFmtId="0" fontId="1" fillId="2" borderId="16" xfId="0" applyFont="1" applyFill="1" applyBorder="1" applyAlignment="1">
      <alignment horizontal="right"/>
    </xf>
    <xf numFmtId="0" fontId="1" fillId="2" borderId="24" xfId="0" applyFont="1" applyFill="1" applyBorder="1" applyAlignment="1">
      <alignment horizontal="center"/>
    </xf>
    <xf numFmtId="0" fontId="1" fillId="2" borderId="0" xfId="0" applyFont="1" applyFill="1" applyAlignment="1">
      <alignment horizontal="center"/>
    </xf>
    <xf numFmtId="0" fontId="22" fillId="0" borderId="26" xfId="0" applyFont="1" applyBorder="1" applyAlignment="1">
      <alignment horizontal="center"/>
    </xf>
    <xf numFmtId="0" fontId="0" fillId="2" borderId="0" xfId="0" applyFill="1" applyAlignment="1">
      <alignment vertical="center" wrapText="1"/>
    </xf>
  </cellXfs>
  <cellStyles count="1">
    <cellStyle name="Normal" xfId="0" builtinId="0"/>
  </cellStyles>
  <dxfs count="156">
    <dxf>
      <font>
        <b val="0"/>
        <i val="0"/>
        <strike val="0"/>
        <condense val="0"/>
        <extend val="0"/>
        <outline val="0"/>
        <shadow val="0"/>
        <u val="none"/>
        <vertAlign val="baseline"/>
        <sz val="11"/>
        <color rgb="FF1F1F1F"/>
        <name val="Arial"/>
        <family val="2"/>
        <scheme val="none"/>
      </font>
      <alignment horizontal="left" vertical="center" textRotation="0" wrapText="1" indent="0" justifyLastLine="0" shrinkToFit="0" readingOrder="1"/>
      <border diagonalUp="0" diagonalDown="0" outline="0">
        <left style="medium">
          <color rgb="FF000000"/>
        </left>
        <right/>
        <top style="medium">
          <color rgb="FF000000"/>
        </top>
        <bottom style="medium">
          <color rgb="FF000000"/>
        </bottom>
      </border>
    </dxf>
    <dxf>
      <font>
        <b val="0"/>
        <i val="0"/>
        <strike val="0"/>
        <condense val="0"/>
        <extend val="0"/>
        <outline val="0"/>
        <shadow val="0"/>
        <u val="none"/>
        <vertAlign val="baseline"/>
        <sz val="11"/>
        <color rgb="FF1F1F1F"/>
        <name val="Arial"/>
        <family val="2"/>
        <scheme val="none"/>
      </font>
      <alignment horizontal="left" vertical="center" textRotation="0" wrapText="1" indent="0" justifyLastLine="0" shrinkToFit="0" readingOrder="1"/>
      <border diagonalUp="0" diagonalDown="0"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1F1F1F"/>
        <name val="Arial"/>
        <family val="2"/>
        <scheme val="none"/>
      </font>
      <alignment horizontal="left" vertical="center" textRotation="0" wrapText="1" indent="0" justifyLastLine="0" shrinkToFit="0" readingOrder="1"/>
      <border diagonalUp="0" diagonalDown="0"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1F1F1F"/>
        <name val="Arial"/>
        <family val="2"/>
        <scheme val="none"/>
      </font>
      <alignment horizontal="left" vertical="center" textRotation="0" wrapText="1" indent="0" justifyLastLine="0" shrinkToFit="0" readingOrder="1"/>
      <border diagonalUp="0" diagonalDown="0"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rgb="FF1F1F1F"/>
        <name val="Arial"/>
        <family val="2"/>
        <scheme val="none"/>
      </font>
      <alignment horizontal="left" vertical="center" textRotation="0" wrapText="1" indent="0" justifyLastLine="0" shrinkToFit="0" readingOrder="1"/>
      <border diagonalUp="0" diagonalDown="0" outline="0">
        <left/>
        <right style="medium">
          <color rgb="FF000000"/>
        </right>
        <top style="medium">
          <color rgb="FF000000"/>
        </top>
        <bottom style="medium">
          <color rgb="FF000000"/>
        </bottom>
      </border>
    </dxf>
    <dxf>
      <border outline="0">
        <top style="medium">
          <color rgb="FF000000"/>
        </top>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1F1F1F"/>
        <name val="Arial"/>
        <family val="2"/>
        <scheme val="none"/>
      </font>
      <alignment horizontal="left" vertical="center" textRotation="0" wrapText="1" indent="0" justifyLastLine="0" shrinkToFit="0" readingOrder="1"/>
    </dxf>
    <dxf>
      <border outline="0">
        <bottom style="medium">
          <color rgb="FF000000"/>
        </bottom>
      </border>
    </dxf>
    <dxf>
      <font>
        <b/>
        <i val="0"/>
        <strike val="0"/>
        <condense val="0"/>
        <extend val="0"/>
        <outline val="0"/>
        <shadow val="0"/>
        <u val="none"/>
        <vertAlign val="baseline"/>
        <sz val="11"/>
        <color theme="5" tint="0.79998168889431442"/>
        <name val="Arial"/>
        <family val="2"/>
        <scheme val="none"/>
      </font>
      <alignment horizontal="left" vertical="center" textRotation="0" wrapText="1" indent="0" justifyLastLine="0" shrinkToFit="0" readingOrder="1"/>
      <border diagonalUp="0" diagonalDown="0" outline="0">
        <left style="medium">
          <color rgb="FF000000"/>
        </left>
        <right style="medium">
          <color rgb="FF000000"/>
        </right>
        <top/>
        <bottom/>
      </border>
    </dxf>
    <dxf>
      <font>
        <b val="0"/>
        <i val="0"/>
        <strike val="0"/>
        <condense val="0"/>
        <extend val="0"/>
        <outline val="0"/>
        <shadow val="0"/>
        <u val="none"/>
        <vertAlign val="baseline"/>
        <sz val="11"/>
        <color rgb="FF1F1F1F"/>
        <name val="Arial"/>
        <family val="2"/>
        <scheme val="none"/>
      </font>
      <alignment horizontal="left" vertical="center" textRotation="0" wrapText="1" indent="0" justifyLastLine="0" shrinkToFit="0" readingOrder="1"/>
      <border diagonalUp="0" diagonalDown="0" outline="0">
        <left style="medium">
          <color rgb="FF000000"/>
        </left>
        <right/>
        <top style="medium">
          <color rgb="FF000000"/>
        </top>
        <bottom style="medium">
          <color rgb="FF000000"/>
        </bottom>
      </border>
    </dxf>
    <dxf>
      <font>
        <b val="0"/>
        <i val="0"/>
        <strike val="0"/>
        <condense val="0"/>
        <extend val="0"/>
        <outline val="0"/>
        <shadow val="0"/>
        <u val="none"/>
        <vertAlign val="baseline"/>
        <sz val="11"/>
        <color rgb="FF1F1F1F"/>
        <name val="Arial"/>
        <family val="2"/>
        <scheme val="none"/>
      </font>
      <alignment horizontal="left" vertical="center" textRotation="0" wrapText="1" indent="0" justifyLastLine="0" shrinkToFit="0" readingOrder="1"/>
      <border diagonalUp="0" diagonalDown="0"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1F1F1F"/>
        <name val="Arial"/>
        <family val="2"/>
        <scheme val="none"/>
      </font>
      <alignment horizontal="left" vertical="center" textRotation="0" wrapText="1" indent="0" justifyLastLine="0" shrinkToFit="0" readingOrder="1"/>
      <border diagonalUp="0" diagonalDown="0"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1F1F1F"/>
        <name val="Arial"/>
        <family val="2"/>
        <scheme val="none"/>
      </font>
      <alignment horizontal="left" vertical="center" textRotation="0" wrapText="1" indent="0" justifyLastLine="0" shrinkToFit="0" readingOrder="1"/>
      <border diagonalUp="0" diagonalDown="0"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rgb="FF1F1F1F"/>
        <name val="Arial"/>
        <family val="2"/>
        <scheme val="none"/>
      </font>
      <alignment horizontal="left" vertical="center" textRotation="0" wrapText="1" indent="0" justifyLastLine="0" shrinkToFit="0" readingOrder="1"/>
      <border diagonalUp="0" diagonalDown="0" outline="0">
        <left/>
        <right style="medium">
          <color rgb="FF000000"/>
        </right>
        <top style="medium">
          <color rgb="FF000000"/>
        </top>
        <bottom style="medium">
          <color rgb="FF000000"/>
        </bottom>
      </border>
    </dxf>
    <dxf>
      <border outline="0">
        <top style="medium">
          <color rgb="FF000000"/>
        </top>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1F1F1F"/>
        <name val="Arial"/>
        <family val="2"/>
        <scheme val="none"/>
      </font>
      <alignment horizontal="left" vertical="center" textRotation="0" wrapText="1" indent="0" justifyLastLine="0" shrinkToFit="0" readingOrder="1"/>
    </dxf>
    <dxf>
      <border outline="0">
        <bottom style="medium">
          <color rgb="FF000000"/>
        </bottom>
      </border>
    </dxf>
    <dxf>
      <font>
        <b/>
        <i val="0"/>
        <strike val="0"/>
        <condense val="0"/>
        <extend val="0"/>
        <outline val="0"/>
        <shadow val="0"/>
        <u val="none"/>
        <vertAlign val="baseline"/>
        <sz val="11"/>
        <color theme="5" tint="0.79998168889431442"/>
        <name val="Arial"/>
        <family val="2"/>
        <scheme val="none"/>
      </font>
      <alignment horizontal="left" vertical="center" textRotation="0" wrapText="1" indent="0" justifyLastLine="0" shrinkToFit="0" readingOrder="1"/>
      <border diagonalUp="0" diagonalDown="0" outline="0">
        <left style="medium">
          <color rgb="FF000000"/>
        </left>
        <right style="medium">
          <color rgb="FF000000"/>
        </right>
        <top/>
        <bottom/>
      </border>
    </dxf>
    <dxf>
      <font>
        <b/>
        <i val="0"/>
        <strike val="0"/>
        <condense val="0"/>
        <extend val="0"/>
        <outline val="0"/>
        <shadow val="0"/>
        <u val="none"/>
        <vertAlign val="baseline"/>
        <sz val="11"/>
        <color rgb="FF1F1F1F"/>
        <name val="Arial"/>
        <family val="2"/>
        <scheme val="none"/>
      </font>
      <numFmt numFmtId="10" formatCode="&quot;$&quot;#,##0_);[Red]\(&quot;$&quot;#,##0\)"/>
      <alignment horizontal="general" vertical="center" textRotation="0" wrapText="1" indent="0" justifyLastLine="0" shrinkToFit="0" readingOrder="1"/>
      <border diagonalUp="0" diagonalDown="0">
        <left style="medium">
          <color rgb="FF000000"/>
        </left>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alignment horizontal="center" textRotation="0" indent="0" justifyLastLine="0" shrinkToFit="0"/>
    </dxf>
    <dxf>
      <font>
        <b val="0"/>
        <i/>
        <strike val="0"/>
        <condense val="0"/>
        <extend val="0"/>
        <outline val="0"/>
        <shadow val="0"/>
        <u val="none"/>
        <vertAlign val="baseline"/>
        <sz val="11"/>
        <color rgb="FF1F1F1F"/>
        <name val="Arial"/>
        <family val="2"/>
        <scheme val="none"/>
      </font>
      <alignment horizontal="center" vertical="center" textRotation="0" wrapText="1" indent="0" justifyLastLine="0" shrinkToFit="0" readingOrder="1"/>
      <border diagonalUp="0" diagonalDown="0">
        <left style="medium">
          <color rgb="FF000000"/>
        </left>
        <right style="medium">
          <color rgb="FF000000"/>
        </right>
        <top style="medium">
          <color rgb="FF000000"/>
        </top>
        <bottom style="medium">
          <color rgb="FF000000"/>
        </bottom>
        <vertical/>
        <horizontal/>
      </border>
    </dxf>
    <dxf>
      <alignment horizontal="center" textRotation="0" indent="0" justifyLastLine="0" shrinkToFit="0"/>
    </dxf>
    <dxf>
      <border outline="0">
        <top style="medium">
          <color rgb="FF000000"/>
        </top>
      </border>
    </dxf>
    <dxf>
      <border outline="0">
        <left style="medium">
          <color rgb="FF000000"/>
        </left>
        <right style="medium">
          <color rgb="FF000000"/>
        </right>
        <top style="medium">
          <color rgb="FF000000"/>
        </top>
        <bottom style="medium">
          <color rgb="FF000000"/>
        </bottom>
      </border>
    </dxf>
    <dxf>
      <border outline="0">
        <bottom style="medium">
          <color rgb="FF000000"/>
        </bottom>
      </border>
    </dxf>
    <dxf>
      <font>
        <b/>
        <i val="0"/>
        <strike val="0"/>
        <condense val="0"/>
        <extend val="0"/>
        <outline val="0"/>
        <shadow val="0"/>
        <u val="none"/>
        <vertAlign val="baseline"/>
        <sz val="11"/>
        <color theme="5" tint="0.79998168889431442"/>
        <name val="Arial"/>
        <family val="2"/>
        <scheme val="none"/>
      </font>
      <alignment horizontal="right" vertical="center" textRotation="0" wrapText="1" indent="1" justifyLastLine="0" shrinkToFit="0" readingOrder="1"/>
      <border diagonalUp="0" diagonalDown="0" outline="0">
        <left style="medium">
          <color rgb="FF000000"/>
        </left>
        <right style="medium">
          <color rgb="FF000000"/>
        </right>
        <top/>
        <bottom/>
      </border>
    </dxf>
    <dxf>
      <font>
        <b/>
        <i val="0"/>
        <strike val="0"/>
        <condense val="0"/>
        <extend val="0"/>
        <outline val="0"/>
        <shadow val="0"/>
        <u val="none"/>
        <vertAlign val="baseline"/>
        <sz val="11"/>
        <color rgb="FF1F1F1F"/>
        <name val="Arial"/>
        <family val="2"/>
        <scheme val="none"/>
      </font>
      <numFmt numFmtId="10" formatCode="&quot;$&quot;#,##0_);[Red]\(&quot;$&quot;#,##0\)"/>
      <alignment horizontal="general" vertical="center" textRotation="0" wrapText="1" indent="0" justifyLastLine="0" shrinkToFit="0" readingOrder="1"/>
      <border diagonalUp="0" diagonalDown="0">
        <left style="medium">
          <color rgb="FF000000"/>
        </left>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alignment horizontal="center" textRotation="0" indent="0" justifyLastLine="0" shrinkToFit="0"/>
    </dxf>
    <dxf>
      <font>
        <b val="0"/>
        <i/>
        <strike val="0"/>
        <condense val="0"/>
        <extend val="0"/>
        <outline val="0"/>
        <shadow val="0"/>
        <u val="none"/>
        <vertAlign val="baseline"/>
        <sz val="11"/>
        <color rgb="FF1F1F1F"/>
        <name val="Arial"/>
        <family val="2"/>
        <scheme val="none"/>
      </font>
      <alignment horizontal="center" vertical="center" textRotation="0" wrapText="1" indent="0" justifyLastLine="0" shrinkToFit="0" readingOrder="1"/>
      <border diagonalUp="0" diagonalDown="0">
        <left style="medium">
          <color rgb="FF000000"/>
        </left>
        <right style="medium">
          <color rgb="FF000000"/>
        </right>
        <top style="medium">
          <color rgb="FF000000"/>
        </top>
        <bottom/>
        <vertical/>
        <horizontal/>
      </border>
    </dxf>
    <dxf>
      <alignment horizontal="center" textRotation="0" indent="0" justifyLastLine="0" shrinkToFit="0"/>
    </dxf>
    <dxf>
      <border outline="0">
        <top style="medium">
          <color rgb="FF000000"/>
        </top>
      </border>
    </dxf>
    <dxf>
      <border outline="0">
        <left style="medium">
          <color rgb="FF000000"/>
        </left>
        <right style="medium">
          <color rgb="FF000000"/>
        </right>
        <top style="medium">
          <color rgb="FF000000"/>
        </top>
        <bottom style="medium">
          <color rgb="FF000000"/>
        </bottom>
      </border>
    </dxf>
    <dxf>
      <border outline="0">
        <bottom style="medium">
          <color rgb="FF000000"/>
        </bottom>
      </border>
    </dxf>
    <dxf>
      <font>
        <b/>
        <i val="0"/>
        <strike val="0"/>
        <condense val="0"/>
        <extend val="0"/>
        <outline val="0"/>
        <shadow val="0"/>
        <u val="none"/>
        <vertAlign val="baseline"/>
        <sz val="11"/>
        <color theme="5" tint="0.79998168889431442"/>
        <name val="Arial"/>
        <family val="2"/>
        <scheme val="none"/>
      </font>
      <alignment horizontal="right" vertical="center" textRotation="0" wrapText="1" indent="1" justifyLastLine="0" shrinkToFit="0" readingOrder="1"/>
      <border diagonalUp="0" diagonalDown="0" outline="0">
        <left style="medium">
          <color rgb="FF000000"/>
        </left>
        <right style="medium">
          <color rgb="FF000000"/>
        </right>
        <top/>
        <bottom/>
      </border>
    </dxf>
    <dxf>
      <font>
        <b/>
        <i val="0"/>
        <strike val="0"/>
        <condense val="0"/>
        <extend val="0"/>
        <outline val="0"/>
        <shadow val="0"/>
        <u val="none"/>
        <vertAlign val="baseline"/>
        <sz val="11"/>
        <color rgb="FF1F1F1F"/>
        <name val="Arial"/>
        <family val="2"/>
        <scheme val="none"/>
      </font>
      <numFmt numFmtId="10" formatCode="&quot;$&quot;#,##0_);[Red]\(&quot;$&quot;#,##0\)"/>
      <alignment horizontal="general" vertical="center" textRotation="0" wrapText="1" indent="0" justifyLastLine="0" shrinkToFit="0" readingOrder="1"/>
      <border diagonalUp="0" diagonalDown="0">
        <left style="medium">
          <color rgb="FF000000"/>
        </left>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2" formatCode="&quot;$&quot;#,##0.00_);[Red]\(&quot;$&quot;#,##0.0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alignment horizontal="center" textRotation="0" indent="0" justifyLastLine="0" shrinkToFit="0"/>
    </dxf>
    <dxf>
      <font>
        <b val="0"/>
        <i/>
        <strike val="0"/>
        <condense val="0"/>
        <extend val="0"/>
        <outline val="0"/>
        <shadow val="0"/>
        <u val="none"/>
        <vertAlign val="baseline"/>
        <sz val="11"/>
        <color rgb="FF1F1F1F"/>
        <name val="Arial"/>
        <family val="2"/>
        <scheme val="none"/>
      </font>
      <alignment horizontal="center" vertical="center" textRotation="0" wrapText="1" indent="0"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i/>
        <color rgb="FF1F1F1F"/>
        <name val="Arial"/>
        <family val="2"/>
        <scheme val="none"/>
      </font>
      <alignment horizontal="center" vertical="center" textRotation="0" wrapText="1" indent="0"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alignment horizontal="right" vertical="center" textRotation="0" wrapText="1" indent="1" justifyLastLine="0" shrinkToFit="0" readingOrder="1"/>
      <border diagonalUp="0" diagonalDown="0">
        <left/>
        <right style="medium">
          <color rgb="FF000000"/>
        </right>
        <top style="medium">
          <color rgb="FF000000"/>
        </top>
        <bottom style="medium">
          <color rgb="FF000000"/>
        </bottom>
        <vertical/>
        <horizontal/>
      </border>
    </dxf>
    <dxf>
      <border outline="0">
        <top style="medium">
          <color rgb="FF000000"/>
        </top>
      </border>
    </dxf>
    <dxf>
      <border outline="0">
        <left style="medium">
          <color rgb="FF000000"/>
        </left>
        <right style="medium">
          <color rgb="FF000000"/>
        </right>
        <top style="medium">
          <color rgb="FF000000"/>
        </top>
        <bottom style="medium">
          <color rgb="FF000000"/>
        </bottom>
      </border>
    </dxf>
    <dxf>
      <font>
        <b val="0"/>
        <i/>
        <strike val="0"/>
        <condense val="0"/>
        <extend val="0"/>
        <outline val="0"/>
        <shadow val="0"/>
        <u val="none"/>
        <vertAlign val="baseline"/>
        <sz val="11"/>
        <color rgb="FF1F1F1F"/>
        <name val="Arial"/>
        <family val="2"/>
        <scheme val="none"/>
      </font>
      <alignment horizontal="right" vertical="center" textRotation="0" wrapText="1" indent="1" justifyLastLine="0" shrinkToFit="0" readingOrder="1"/>
    </dxf>
    <dxf>
      <border outline="0">
        <bottom style="medium">
          <color rgb="FF000000"/>
        </bottom>
      </border>
    </dxf>
    <dxf>
      <font>
        <b/>
        <i val="0"/>
        <strike val="0"/>
        <condense val="0"/>
        <extend val="0"/>
        <outline val="0"/>
        <shadow val="0"/>
        <u val="none"/>
        <vertAlign val="baseline"/>
        <sz val="11"/>
        <color theme="5" tint="0.79998168889431442"/>
        <name val="Arial"/>
        <family val="2"/>
        <scheme val="none"/>
      </font>
      <alignment horizontal="right" vertical="center" textRotation="0" wrapText="1" indent="1" justifyLastLine="0" shrinkToFit="0" readingOrder="1"/>
      <border diagonalUp="0" diagonalDown="0" outline="0">
        <left style="medium">
          <color rgb="FF000000"/>
        </left>
        <right style="medium">
          <color rgb="FF000000"/>
        </right>
        <top/>
        <bottom/>
      </border>
    </dxf>
    <dxf>
      <font>
        <b/>
        <i val="0"/>
        <strike val="0"/>
        <condense val="0"/>
        <extend val="0"/>
        <outline val="0"/>
        <shadow val="0"/>
        <u val="none"/>
        <vertAlign val="baseline"/>
        <sz val="11"/>
        <color rgb="FF1F1F1F"/>
        <name val="Arial"/>
        <family val="2"/>
        <scheme val="none"/>
      </font>
      <numFmt numFmtId="10" formatCode="&quot;$&quot;#,##0_);[Red]\(&quot;$&quot;#,##0\)"/>
      <alignment horizontal="general" vertical="center" textRotation="0" wrapText="1" indent="0" justifyLastLine="0" shrinkToFit="0" readingOrder="1"/>
      <border diagonalUp="0" diagonalDown="0">
        <left style="medium">
          <color rgb="FF000000"/>
        </left>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alignment horizontal="center" textRotation="0" indent="0" justifyLastLine="0" shrinkToFit="0"/>
    </dxf>
    <dxf>
      <font>
        <b val="0"/>
        <i/>
        <strike val="0"/>
        <condense val="0"/>
        <extend val="0"/>
        <outline val="0"/>
        <shadow val="0"/>
        <u val="none"/>
        <vertAlign val="baseline"/>
        <sz val="11"/>
        <color rgb="FF1F1F1F"/>
        <name val="Arial"/>
        <family val="2"/>
        <scheme val="none"/>
      </font>
      <alignment horizontal="center" vertical="center" textRotation="0" wrapText="1" indent="0" justifyLastLine="0" shrinkToFit="0" readingOrder="1"/>
      <border diagonalUp="0" diagonalDown="0">
        <left style="medium">
          <color rgb="FF000000"/>
        </left>
        <right style="medium">
          <color rgb="FF000000"/>
        </right>
        <top style="medium">
          <color rgb="FF000000"/>
        </top>
        <bottom/>
        <vertical/>
        <horizontal/>
      </border>
    </dxf>
    <dxf>
      <alignment horizontal="center" textRotation="0" indent="0" justifyLastLine="0" shrinkToFit="0"/>
    </dxf>
    <dxf>
      <border outline="0">
        <top style="medium">
          <color rgb="FF000000"/>
        </top>
      </border>
    </dxf>
    <dxf>
      <border outline="0">
        <left style="medium">
          <color rgb="FF000000"/>
        </left>
        <right style="medium">
          <color rgb="FF000000"/>
        </right>
        <top style="medium">
          <color rgb="FF000000"/>
        </top>
        <bottom style="medium">
          <color rgb="FF000000"/>
        </bottom>
      </border>
    </dxf>
    <dxf>
      <border outline="0">
        <bottom style="medium">
          <color rgb="FF000000"/>
        </bottom>
      </border>
    </dxf>
    <dxf>
      <font>
        <b/>
        <i val="0"/>
        <strike val="0"/>
        <condense val="0"/>
        <extend val="0"/>
        <outline val="0"/>
        <shadow val="0"/>
        <u val="none"/>
        <vertAlign val="baseline"/>
        <sz val="11"/>
        <color theme="5" tint="0.79998168889431442"/>
        <name val="Arial"/>
        <family val="2"/>
        <scheme val="none"/>
      </font>
      <alignment horizontal="right" vertical="center" textRotation="0" wrapText="1" indent="1" justifyLastLine="0" shrinkToFit="0" readingOrder="1"/>
      <border diagonalUp="0" diagonalDown="0" outline="0">
        <left style="medium">
          <color rgb="FF000000"/>
        </left>
        <right style="medium">
          <color rgb="FF000000"/>
        </right>
        <top/>
        <bottom/>
      </border>
    </dxf>
    <dxf>
      <font>
        <b/>
        <i val="0"/>
        <strike val="0"/>
        <condense val="0"/>
        <extend val="0"/>
        <outline val="0"/>
        <shadow val="0"/>
        <u val="none"/>
        <vertAlign val="baseline"/>
        <sz val="11"/>
        <color rgb="FF1F1F1F"/>
        <name val="Arial"/>
        <family val="2"/>
        <scheme val="none"/>
      </font>
      <numFmt numFmtId="10" formatCode="&quot;$&quot;#,##0_);[Red]\(&quot;$&quot;#,##0\)"/>
      <alignment horizontal="general" vertical="center" textRotation="0" wrapText="1" indent="0" justifyLastLine="0" shrinkToFit="0" readingOrder="1"/>
      <border diagonalUp="0" diagonalDown="0">
        <left style="medium">
          <color rgb="FF000000"/>
        </left>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2" formatCode="&quot;$&quot;#,##0.00_);[Red]\(&quot;$&quot;#,##0.0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alignment horizontal="center" textRotation="0" indent="0" justifyLastLine="0" shrinkToFit="0"/>
    </dxf>
    <dxf>
      <font>
        <b val="0"/>
        <i/>
        <strike val="0"/>
        <condense val="0"/>
        <extend val="0"/>
        <outline val="0"/>
        <shadow val="0"/>
        <u val="none"/>
        <vertAlign val="baseline"/>
        <sz val="11"/>
        <color rgb="FF1F1F1F"/>
        <name val="Arial"/>
        <family val="2"/>
        <scheme val="none"/>
      </font>
      <alignment horizontal="center" vertical="center" textRotation="0" wrapText="1" indent="0"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i/>
        <color rgb="FF1F1F1F"/>
        <name val="Arial"/>
        <family val="2"/>
        <scheme val="none"/>
      </font>
      <alignment horizontal="center" vertical="center" textRotation="0" wrapText="1" indent="0"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alignment horizontal="right" vertical="center" textRotation="0" wrapText="1" indent="1" justifyLastLine="0" shrinkToFit="0" readingOrder="1"/>
      <border diagonalUp="0" diagonalDown="0">
        <left/>
        <right style="medium">
          <color rgb="FF000000"/>
        </right>
        <top style="medium">
          <color rgb="FF000000"/>
        </top>
        <bottom style="medium">
          <color rgb="FF000000"/>
        </bottom>
        <vertical/>
        <horizontal/>
      </border>
    </dxf>
    <dxf>
      <border outline="0">
        <top style="medium">
          <color rgb="FF000000"/>
        </top>
      </border>
    </dxf>
    <dxf>
      <border outline="0">
        <left style="medium">
          <color rgb="FF000000"/>
        </left>
        <right style="medium">
          <color rgb="FF000000"/>
        </right>
        <top style="medium">
          <color rgb="FF000000"/>
        </top>
        <bottom style="medium">
          <color rgb="FF000000"/>
        </bottom>
      </border>
    </dxf>
    <dxf>
      <font>
        <b val="0"/>
        <i/>
        <strike val="0"/>
        <condense val="0"/>
        <extend val="0"/>
        <outline val="0"/>
        <shadow val="0"/>
        <u val="none"/>
        <vertAlign val="baseline"/>
        <sz val="11"/>
        <color rgb="FF1F1F1F"/>
        <name val="Arial"/>
        <family val="2"/>
        <scheme val="none"/>
      </font>
      <alignment horizontal="right" vertical="center" textRotation="0" wrapText="1" indent="1" justifyLastLine="0" shrinkToFit="0" readingOrder="1"/>
    </dxf>
    <dxf>
      <border outline="0">
        <bottom style="medium">
          <color rgb="FF000000"/>
        </bottom>
      </border>
    </dxf>
    <dxf>
      <font>
        <b/>
        <i val="0"/>
        <strike val="0"/>
        <condense val="0"/>
        <extend val="0"/>
        <outline val="0"/>
        <shadow val="0"/>
        <u val="none"/>
        <vertAlign val="baseline"/>
        <sz val="11"/>
        <color theme="5" tint="0.79998168889431442"/>
        <name val="Arial"/>
        <family val="2"/>
        <scheme val="none"/>
      </font>
      <alignment horizontal="right" vertical="center" textRotation="0" wrapText="1" indent="1" justifyLastLine="0" shrinkToFit="0" readingOrder="1"/>
      <border diagonalUp="0" diagonalDown="0" outline="0">
        <left style="medium">
          <color rgb="FF000000"/>
        </left>
        <right style="medium">
          <color rgb="FF000000"/>
        </right>
        <top/>
        <bottom/>
      </border>
    </dxf>
    <dxf>
      <font>
        <b/>
        <i val="0"/>
        <strike val="0"/>
        <condense val="0"/>
        <extend val="0"/>
        <outline val="0"/>
        <shadow val="0"/>
        <u val="none"/>
        <vertAlign val="baseline"/>
        <sz val="11"/>
        <color rgb="FF1F1F1F"/>
        <name val="Arial"/>
        <family val="2"/>
        <scheme val="none"/>
      </font>
      <numFmt numFmtId="10" formatCode="&quot;$&quot;#,##0_);[Red]\(&quot;$&quot;#,##0\)"/>
      <alignment horizontal="general" vertical="center" textRotation="0" wrapText="1" indent="0" justifyLastLine="0" shrinkToFit="0" readingOrder="1"/>
      <border diagonalUp="0" diagonalDown="0">
        <left style="medium">
          <color rgb="FF000000"/>
        </left>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alignment horizontal="center" textRotation="0" indent="0" justifyLastLine="0" shrinkToFit="0"/>
    </dxf>
    <dxf>
      <font>
        <b val="0"/>
        <i/>
        <strike val="0"/>
        <condense val="0"/>
        <extend val="0"/>
        <outline val="0"/>
        <shadow val="0"/>
        <u val="none"/>
        <vertAlign val="baseline"/>
        <sz val="11"/>
        <color rgb="FF1F1F1F"/>
        <name val="Arial"/>
        <family val="2"/>
        <scheme val="none"/>
      </font>
      <alignment horizontal="center" vertical="center" textRotation="0" wrapText="1" indent="0" justifyLastLine="0" shrinkToFit="0" readingOrder="1"/>
      <border diagonalUp="0" diagonalDown="0">
        <left style="medium">
          <color rgb="FF000000"/>
        </left>
        <right style="medium">
          <color rgb="FF000000"/>
        </right>
        <top style="medium">
          <color rgb="FF000000"/>
        </top>
        <bottom/>
        <vertical/>
        <horizontal/>
      </border>
    </dxf>
    <dxf>
      <alignment horizontal="center" textRotation="0" indent="0" justifyLastLine="0" shrinkToFit="0"/>
    </dxf>
    <dxf>
      <border outline="0">
        <top style="medium">
          <color rgb="FF000000"/>
        </top>
      </border>
    </dxf>
    <dxf>
      <border outline="0">
        <left style="medium">
          <color rgb="FF000000"/>
        </left>
        <right style="medium">
          <color rgb="FF000000"/>
        </right>
        <top style="medium">
          <color rgb="FF000000"/>
        </top>
        <bottom style="medium">
          <color rgb="FF000000"/>
        </bottom>
      </border>
    </dxf>
    <dxf>
      <border outline="0">
        <bottom style="medium">
          <color rgb="FF000000"/>
        </bottom>
      </border>
    </dxf>
    <dxf>
      <font>
        <b/>
        <i val="0"/>
        <strike val="0"/>
        <condense val="0"/>
        <extend val="0"/>
        <outline val="0"/>
        <shadow val="0"/>
        <u val="none"/>
        <vertAlign val="baseline"/>
        <sz val="11"/>
        <color theme="5" tint="0.79998168889431442"/>
        <name val="Arial"/>
        <family val="2"/>
        <scheme val="none"/>
      </font>
      <alignment horizontal="right" vertical="center" textRotation="0" wrapText="1" indent="1" justifyLastLine="0" shrinkToFit="0" readingOrder="1"/>
      <border diagonalUp="0" diagonalDown="0" outline="0">
        <left style="medium">
          <color rgb="FF000000"/>
        </left>
        <right style="medium">
          <color rgb="FF000000"/>
        </right>
        <top/>
        <bottom/>
      </border>
    </dxf>
    <dxf>
      <font>
        <b/>
        <i val="0"/>
        <strike val="0"/>
        <condense val="0"/>
        <extend val="0"/>
        <outline val="0"/>
        <shadow val="0"/>
        <u val="none"/>
        <vertAlign val="baseline"/>
        <sz val="11"/>
        <color rgb="FF1F1F1F"/>
        <name val="Arial"/>
        <family val="2"/>
        <scheme val="none"/>
      </font>
      <numFmt numFmtId="10" formatCode="&quot;$&quot;#,##0_);[Red]\(&quot;$&quot;#,##0\)"/>
      <alignment horizontal="general" vertical="center" textRotation="0" wrapText="1" indent="0" justifyLastLine="0" shrinkToFit="0" readingOrder="1"/>
      <border diagonalUp="0" diagonalDown="0">
        <left style="medium">
          <color rgb="FF000000"/>
        </left>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alignment horizontal="center" textRotation="0" indent="0" justifyLastLine="0" shrinkToFit="0"/>
    </dxf>
    <dxf>
      <font>
        <b val="0"/>
        <i/>
        <strike val="0"/>
        <condense val="0"/>
        <extend val="0"/>
        <outline val="0"/>
        <shadow val="0"/>
        <u val="none"/>
        <vertAlign val="baseline"/>
        <sz val="11"/>
        <color rgb="FF1F1F1F"/>
        <name val="Arial"/>
        <family val="2"/>
        <scheme val="none"/>
      </font>
      <alignment horizontal="center" vertical="center" textRotation="0" wrapText="1" indent="0" justifyLastLine="0" shrinkToFit="0" readingOrder="1"/>
      <border diagonalUp="0" diagonalDown="0">
        <left style="medium">
          <color rgb="FF000000"/>
        </left>
        <right style="medium">
          <color rgb="FF000000"/>
        </right>
        <top style="medium">
          <color rgb="FF000000"/>
        </top>
        <bottom style="medium">
          <color rgb="FF000000"/>
        </bottom>
        <vertical/>
        <horizontal/>
      </border>
    </dxf>
    <dxf>
      <alignment horizontal="center" textRotation="0" indent="0" justifyLastLine="0" shrinkToFit="0"/>
    </dxf>
    <dxf>
      <border outline="0">
        <top style="medium">
          <color rgb="FF000000"/>
        </top>
      </border>
    </dxf>
    <dxf>
      <border outline="0">
        <left style="medium">
          <color rgb="FF000000"/>
        </left>
        <right style="medium">
          <color rgb="FF000000"/>
        </right>
        <top style="medium">
          <color rgb="FF000000"/>
        </top>
        <bottom style="medium">
          <color rgb="FF000000"/>
        </bottom>
      </border>
    </dxf>
    <dxf>
      <border outline="0">
        <bottom style="medium">
          <color rgb="FF000000"/>
        </bottom>
      </border>
    </dxf>
    <dxf>
      <font>
        <b/>
        <i val="0"/>
        <strike val="0"/>
        <condense val="0"/>
        <extend val="0"/>
        <outline val="0"/>
        <shadow val="0"/>
        <u val="none"/>
        <vertAlign val="baseline"/>
        <sz val="11"/>
        <color theme="5" tint="0.79998168889431442"/>
        <name val="Arial"/>
        <family val="2"/>
        <scheme val="none"/>
      </font>
      <alignment horizontal="right" vertical="center" textRotation="0" wrapText="1" indent="1" justifyLastLine="0" shrinkToFit="0" readingOrder="1"/>
      <border diagonalUp="0" diagonalDown="0" outline="0">
        <left style="medium">
          <color rgb="FF000000"/>
        </left>
        <right style="medium">
          <color rgb="FF000000"/>
        </right>
        <top/>
        <bottom/>
      </border>
    </dxf>
    <dxf>
      <font>
        <b/>
        <i val="0"/>
        <strike val="0"/>
        <condense val="0"/>
        <extend val="0"/>
        <outline val="0"/>
        <shadow val="0"/>
        <u val="none"/>
        <vertAlign val="baseline"/>
        <sz val="11"/>
        <color rgb="FF1F1F1F"/>
        <name val="Arial"/>
        <family val="2"/>
        <scheme val="none"/>
      </font>
      <numFmt numFmtId="10" formatCode="&quot;$&quot;#,##0_);[Red]\(&quot;$&quot;#,##0\)"/>
      <alignment horizontal="general" vertical="center" textRotation="0" wrapText="1" indent="0" justifyLastLine="0" shrinkToFit="0" readingOrder="1"/>
      <border diagonalUp="0" diagonalDown="0">
        <left style="medium">
          <color rgb="FF000000"/>
        </left>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font>
        <b val="0"/>
        <i/>
        <strike val="0"/>
        <condense val="0"/>
        <extend val="0"/>
        <outline val="0"/>
        <shadow val="0"/>
        <u val="none"/>
        <vertAlign val="baseline"/>
        <sz val="11"/>
        <color rgb="FF1F1F1F"/>
        <name val="Arial"/>
        <family val="2"/>
        <scheme val="none"/>
      </font>
      <numFmt numFmtId="10" formatCode="&quot;$&quot;#,##0_);[Red]\(&quot;$&quot;#,##0\)"/>
      <alignment horizontal="right" vertical="center" textRotation="0" wrapText="1" indent="1" justifyLastLine="0" shrinkToFit="0" readingOrder="1"/>
      <border diagonalUp="0" diagonalDown="0">
        <left style="medium">
          <color rgb="FF000000"/>
        </left>
        <right style="medium">
          <color rgb="FF000000"/>
        </right>
        <top style="medium">
          <color rgb="FF000000"/>
        </top>
        <bottom style="medium">
          <color rgb="FF000000"/>
        </bottom>
        <vertical/>
        <horizontal/>
      </border>
    </dxf>
    <dxf>
      <alignment horizontal="center" textRotation="0" indent="0" justifyLastLine="0" shrinkToFit="0"/>
    </dxf>
    <dxf>
      <font>
        <b val="0"/>
        <i/>
        <strike val="0"/>
        <condense val="0"/>
        <extend val="0"/>
        <outline val="0"/>
        <shadow val="0"/>
        <u val="none"/>
        <vertAlign val="baseline"/>
        <sz val="11"/>
        <color rgb="FF1F1F1F"/>
        <name val="Arial"/>
        <family val="2"/>
        <scheme val="none"/>
      </font>
      <alignment horizontal="center" vertical="center" textRotation="0" wrapText="1" indent="0" justifyLastLine="0" shrinkToFit="0" readingOrder="1"/>
      <border diagonalUp="0" diagonalDown="0">
        <left style="medium">
          <color rgb="FF000000"/>
        </left>
        <right style="medium">
          <color rgb="FF000000"/>
        </right>
        <top style="medium">
          <color rgb="FF000000"/>
        </top>
        <bottom/>
        <vertical/>
        <horizontal/>
      </border>
    </dxf>
    <dxf>
      <alignment horizontal="center" textRotation="0" indent="0" justifyLastLine="0" shrinkToFit="0"/>
    </dxf>
    <dxf>
      <border outline="0">
        <top style="medium">
          <color rgb="FF000000"/>
        </top>
      </border>
    </dxf>
    <dxf>
      <border outline="0">
        <left style="medium">
          <color rgb="FF000000"/>
        </left>
        <right style="medium">
          <color rgb="FF000000"/>
        </right>
        <top style="medium">
          <color rgb="FF000000"/>
        </top>
        <bottom style="medium">
          <color rgb="FF000000"/>
        </bottom>
      </border>
    </dxf>
    <dxf>
      <border outline="0">
        <bottom style="medium">
          <color rgb="FF000000"/>
        </bottom>
      </border>
    </dxf>
    <dxf>
      <font>
        <b/>
        <i val="0"/>
        <strike val="0"/>
        <condense val="0"/>
        <extend val="0"/>
        <outline val="0"/>
        <shadow val="0"/>
        <u val="none"/>
        <vertAlign val="baseline"/>
        <sz val="11"/>
        <color theme="5" tint="0.79998168889431442"/>
        <name val="Arial"/>
        <family val="2"/>
        <scheme val="none"/>
      </font>
      <alignment horizontal="right" vertical="center" textRotation="0" wrapText="1" indent="1" justifyLastLine="0" shrinkToFit="0" readingOrder="1"/>
      <border diagonalUp="0" diagonalDown="0" outline="0">
        <left style="medium">
          <color rgb="FF000000"/>
        </left>
        <right style="medium">
          <color rgb="FF000000"/>
        </right>
        <top/>
        <bottom/>
      </border>
    </dxf>
    <dxf>
      <alignment horizontal="center" textRotation="0" indent="0" justifyLastLine="0" shrinkToFit="0"/>
      <border diagonalUp="0" diagonalDown="0" outline="0">
        <left style="medium">
          <color indexed="64"/>
        </left>
        <right style="medium">
          <color indexed="64"/>
        </right>
      </border>
    </dxf>
    <dxf>
      <border diagonalUp="0" diagonalDown="0">
        <left style="medium">
          <color indexed="64"/>
        </left>
        <right style="medium">
          <color indexed="64"/>
        </right>
        <top/>
        <bottom/>
        <vertical/>
        <horizontal/>
      </border>
    </dxf>
    <dxf>
      <border diagonalUp="0" diagonalDown="0">
        <left style="medium">
          <color indexed="64"/>
        </left>
        <right style="medium">
          <color indexed="64"/>
        </right>
        <top/>
        <bottom/>
        <vertical/>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border diagonalUp="0" diagonalDown="0">
        <left style="medium">
          <color indexed="64"/>
        </left>
        <right style="medium">
          <color indexed="64"/>
        </right>
        <top/>
        <bottom/>
        <vertical style="medium">
          <color indexed="64"/>
        </vertical>
        <horizontal/>
      </border>
    </dxf>
    <dxf>
      <alignment horizontal="center" textRotation="0" indent="0" justifyLastLine="0" shrinkToFit="0"/>
      <border diagonalUp="0" diagonalDown="0" outline="0">
        <left style="medium">
          <color indexed="64"/>
        </left>
        <right style="medium">
          <color indexed="64"/>
        </right>
      </border>
    </dxf>
    <dxf>
      <border diagonalUp="0" diagonalDown="0">
        <left style="medium">
          <color indexed="64"/>
        </left>
        <right style="medium">
          <color indexed="64"/>
        </right>
        <top/>
        <bottom/>
        <vertical/>
        <horizontal/>
      </border>
    </dxf>
    <dxf>
      <border diagonalUp="0" diagonalDown="0">
        <left style="medium">
          <color indexed="64"/>
        </left>
        <right style="medium">
          <color indexed="64"/>
        </right>
        <top/>
        <bottom/>
        <vertical/>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border diagonalUp="0" diagonalDown="0">
        <left style="medium">
          <color indexed="64"/>
        </left>
        <right style="medium">
          <color indexed="64"/>
        </right>
        <top/>
        <bottom/>
        <vertical style="medium">
          <color indexed="64"/>
        </vertical>
        <horizontal/>
      </border>
    </dxf>
    <dxf>
      <alignment horizontal="center" textRotation="0" indent="0" justifyLastLine="0" shrinkToFit="0"/>
      <border diagonalUp="0" diagonalDown="0" outline="0">
        <left style="medium">
          <color indexed="64"/>
        </left>
        <right style="medium">
          <color indexed="64"/>
        </right>
      </border>
    </dxf>
    <dxf>
      <border diagonalUp="0" diagonalDown="0">
        <left style="medium">
          <color indexed="64"/>
        </left>
        <right style="medium">
          <color indexed="64"/>
        </right>
        <top/>
        <bottom/>
        <vertical/>
        <horizontal/>
      </border>
    </dxf>
    <dxf>
      <border diagonalUp="0" diagonalDown="0">
        <left style="medium">
          <color indexed="64"/>
        </left>
        <right style="medium">
          <color indexed="64"/>
        </right>
        <top/>
        <bottom/>
        <vertical/>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border diagonalUp="0" diagonalDown="0">
        <left style="medium">
          <color indexed="64"/>
        </left>
        <right style="medium">
          <color indexed="64"/>
        </right>
        <top/>
        <bottom/>
        <vertical style="medium">
          <color indexed="64"/>
        </vertical>
        <horizontal/>
      </border>
    </dxf>
    <dxf>
      <font>
        <b val="0"/>
        <i val="0"/>
        <strike val="0"/>
        <condense val="0"/>
        <extend val="0"/>
        <outline val="0"/>
        <shadow val="0"/>
        <u val="none"/>
        <vertAlign val="baseline"/>
        <sz val="11"/>
        <color rgb="FF1F1F1F"/>
        <name val="Arial"/>
        <family val="2"/>
        <scheme val="none"/>
      </font>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1F1F1F"/>
        <name val="Arial"/>
        <family val="2"/>
        <scheme val="none"/>
      </font>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1F1F1F"/>
        <name val="Arial"/>
        <family val="2"/>
        <scheme val="none"/>
      </font>
      <alignment horizontal="right" vertical="center" textRotation="0" wrapText="1" indent="1"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1F1F1F"/>
        <name val="Arial"/>
        <family val="2"/>
        <scheme val="none"/>
      </font>
      <alignment horizontal="left" vertical="center" textRotation="0" wrapText="1" indent="1"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medium">
          <color rgb="FF000000"/>
        </top>
      </border>
    </dxf>
    <dxf>
      <border outline="0">
        <left style="medium">
          <color rgb="FF000000"/>
        </left>
        <right style="medium">
          <color rgb="FF000000"/>
        </right>
        <top style="medium">
          <color rgb="FF000000"/>
        </top>
        <bottom style="medium">
          <color rgb="FF000000"/>
        </bottom>
      </border>
    </dxf>
    <dxf>
      <border>
        <bottom style="medium">
          <color indexed="64"/>
        </bottom>
      </border>
    </dxf>
    <dxf>
      <font>
        <b/>
        <i val="0"/>
        <strike val="0"/>
        <condense val="0"/>
        <extend val="0"/>
        <outline val="0"/>
        <shadow val="0"/>
        <u val="none"/>
        <vertAlign val="baseline"/>
        <sz val="11"/>
        <color theme="5" tint="0.79998168889431442"/>
        <name val="Arial"/>
        <family val="2"/>
        <scheme val="none"/>
      </font>
      <alignment horizontal="center" vertical="center" textRotation="0" wrapText="1" indent="0" justifyLastLine="0" shrinkToFit="0" readingOrder="1"/>
      <border diagonalUp="0" diagonalDown="0">
        <left style="medium">
          <color rgb="FF000000"/>
        </left>
        <right style="medium">
          <color rgb="FF000000"/>
        </right>
        <top/>
        <bottom/>
        <vertical style="medium">
          <color rgb="FF000000"/>
        </vertical>
        <horizontal/>
      </border>
    </dxf>
    <dxf>
      <font>
        <b val="0"/>
        <i val="0"/>
        <strike val="0"/>
        <condense val="0"/>
        <extend val="0"/>
        <outline val="0"/>
        <shadow val="0"/>
        <u val="none"/>
        <vertAlign val="baseline"/>
        <sz val="11"/>
        <color rgb="FF1F1F1F"/>
        <name val="Arial"/>
        <family val="2"/>
        <scheme val="none"/>
      </font>
      <alignment horizontal="center" vertical="center" textRotation="0" wrapText="1" indent="0" justifyLastLine="0" shrinkToFit="0" readingOrder="1"/>
      <border diagonalUp="0" diagonalDown="0">
        <left style="medium">
          <color rgb="FF000000"/>
        </left>
        <right/>
        <top style="medium">
          <color rgb="FF000000"/>
        </top>
        <bottom/>
        <vertical/>
        <horizontal/>
      </border>
    </dxf>
    <dxf>
      <font>
        <b val="0"/>
        <i val="0"/>
        <strike val="0"/>
        <condense val="0"/>
        <extend val="0"/>
        <outline val="0"/>
        <shadow val="0"/>
        <u val="none"/>
        <vertAlign val="baseline"/>
        <sz val="11"/>
        <color rgb="FF1F1F1F"/>
        <name val="Arial"/>
        <family val="2"/>
        <scheme val="none"/>
      </font>
      <alignment horizontal="center" vertical="center" textRotation="0" wrapText="1" indent="0" justifyLastLine="0" shrinkToFit="0" readingOrder="1"/>
      <border diagonalUp="0" diagonalDown="0">
        <left style="medium">
          <color rgb="FF000000"/>
        </left>
        <right style="medium">
          <color rgb="FF000000"/>
        </right>
        <top style="medium">
          <color rgb="FF000000"/>
        </top>
        <bottom/>
        <vertical/>
        <horizontal/>
      </border>
    </dxf>
    <dxf>
      <font>
        <b/>
        <i val="0"/>
        <strike val="0"/>
        <condense val="0"/>
        <extend val="0"/>
        <outline val="0"/>
        <shadow val="0"/>
        <u val="none"/>
        <vertAlign val="baseline"/>
        <sz val="11"/>
        <color rgb="FF1F1F1F"/>
        <name val="Arial"/>
        <family val="2"/>
        <scheme val="none"/>
      </font>
      <alignment horizontal="right" vertical="center" textRotation="0" wrapText="1" indent="1" justifyLastLine="0" shrinkToFit="0" readingOrder="1"/>
      <border diagonalUp="0" diagonalDown="0">
        <left style="medium">
          <color rgb="FF000000"/>
        </left>
        <right style="medium">
          <color rgb="FF000000"/>
        </right>
        <top style="medium">
          <color rgb="FF000000"/>
        </top>
        <bottom/>
        <vertical/>
        <horizontal/>
      </border>
    </dxf>
    <dxf>
      <font>
        <b/>
        <i val="0"/>
        <strike val="0"/>
        <condense val="0"/>
        <extend val="0"/>
        <outline val="0"/>
        <shadow val="0"/>
        <u val="none"/>
        <vertAlign val="baseline"/>
        <sz val="11"/>
        <color rgb="FF1F1F1F"/>
        <name val="Arial"/>
        <family val="2"/>
        <scheme val="none"/>
      </font>
      <alignment horizontal="left" vertical="center" textRotation="0" wrapText="1" indent="1" justifyLastLine="0" shrinkToFit="0" readingOrder="1"/>
      <border diagonalUp="0" diagonalDown="0" outline="0">
        <left/>
        <right style="medium">
          <color rgb="FF000000"/>
        </right>
        <top style="medium">
          <color rgb="FF000000"/>
        </top>
        <bottom/>
      </border>
    </dxf>
    <dxf>
      <border outline="0">
        <top style="medium">
          <color rgb="FF000000"/>
        </top>
      </border>
    </dxf>
    <dxf>
      <border outline="0">
        <left style="medium">
          <color rgb="FF000000"/>
        </left>
        <right style="medium">
          <color rgb="FF000000"/>
        </right>
        <top style="medium">
          <color rgb="FF000000"/>
        </top>
        <bottom style="medium">
          <color rgb="FF000000"/>
        </bottom>
      </border>
    </dxf>
    <dxf>
      <border outline="0">
        <bottom style="medium">
          <color rgb="FF000000"/>
        </bottom>
      </border>
    </dxf>
    <dxf>
      <font>
        <b/>
        <i val="0"/>
        <strike val="0"/>
        <condense val="0"/>
        <extend val="0"/>
        <outline val="0"/>
        <shadow val="0"/>
        <u val="none"/>
        <vertAlign val="baseline"/>
        <sz val="11"/>
        <color theme="5" tint="0.79998168889431442"/>
        <name val="Arial"/>
        <family val="2"/>
        <scheme val="none"/>
      </font>
      <alignment horizontal="right" vertical="center" textRotation="0" wrapText="1" indent="1" justifyLastLine="0" shrinkToFit="0" readingOrder="1"/>
      <border diagonalUp="0" diagonalDown="0" outline="0">
        <left style="medium">
          <color rgb="FF000000"/>
        </left>
        <right style="medium">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1513103</xdr:colOff>
      <xdr:row>6</xdr:row>
      <xdr:rowOff>21693</xdr:rowOff>
    </xdr:from>
    <xdr:ext cx="4368266" cy="937693"/>
    <xdr:sp macro="" textlink="">
      <xdr:nvSpPr>
        <xdr:cNvPr id="2" name="Rectangle 1">
          <a:extLst>
            <a:ext uri="{FF2B5EF4-FFF2-40B4-BE49-F238E27FC236}">
              <a16:creationId xmlns:a16="http://schemas.microsoft.com/office/drawing/2014/main" id="{DADA214A-7FC5-DB07-AC1B-61D74396010D}"/>
            </a:ext>
          </a:extLst>
        </xdr:cNvPr>
        <xdr:cNvSpPr/>
      </xdr:nvSpPr>
      <xdr:spPr>
        <a:xfrm rot="1466510">
          <a:off x="2598953" y="1564743"/>
          <a:ext cx="4368266" cy="937693"/>
        </a:xfrm>
        <a:prstGeom prst="rect">
          <a:avLst/>
        </a:prstGeom>
        <a:noFill/>
      </xdr:spPr>
      <xdr:txBody>
        <a:bodyPr wrap="square" lIns="91440" tIns="45720" rIns="91440" bIns="45720">
          <a:spAutoFit/>
        </a:bodyPr>
        <a:lstStyle/>
        <a:p>
          <a:pPr algn="ctr"/>
          <a:r>
            <a:rPr lang="en-US" sz="5400" b="1" cap="none" spc="0">
              <a:ln w="22225">
                <a:solidFill>
                  <a:schemeClr val="accent2"/>
                </a:solidFill>
                <a:prstDash val="solid"/>
              </a:ln>
              <a:solidFill>
                <a:schemeClr val="accent2">
                  <a:lumMod val="40000"/>
                  <a:lumOff val="60000"/>
                </a:schemeClr>
              </a:solidFill>
              <a:effectLst/>
            </a:rPr>
            <a:t>Example</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290553</xdr:colOff>
      <xdr:row>2</xdr:row>
      <xdr:rowOff>376108</xdr:rowOff>
    </xdr:from>
    <xdr:ext cx="2657394" cy="937693"/>
    <xdr:sp macro="" textlink="">
      <xdr:nvSpPr>
        <xdr:cNvPr id="2" name="Rectangle 1">
          <a:extLst>
            <a:ext uri="{FF2B5EF4-FFF2-40B4-BE49-F238E27FC236}">
              <a16:creationId xmlns:a16="http://schemas.microsoft.com/office/drawing/2014/main" id="{DE1DFC51-6D51-294F-93D5-B30D7C832ADF}"/>
            </a:ext>
          </a:extLst>
        </xdr:cNvPr>
        <xdr:cNvSpPr/>
      </xdr:nvSpPr>
      <xdr:spPr>
        <a:xfrm rot="20127730">
          <a:off x="8358228" y="757108"/>
          <a:ext cx="2657394" cy="937693"/>
        </a:xfrm>
        <a:prstGeom prst="rect">
          <a:avLst/>
        </a:prstGeom>
        <a:noFill/>
      </xdr:spPr>
      <xdr:txBody>
        <a:bodyPr wrap="none" lIns="91440" tIns="45720" rIns="91440" bIns="45720">
          <a:spAutoFit/>
        </a:bodyPr>
        <a:lstStyle/>
        <a:p>
          <a:pPr algn="ctr"/>
          <a:r>
            <a:rPr lang="en-US" sz="5400" b="1" cap="none" spc="0">
              <a:ln w="22225">
                <a:solidFill>
                  <a:schemeClr val="accent2"/>
                </a:solidFill>
                <a:prstDash val="solid"/>
              </a:ln>
              <a:solidFill>
                <a:schemeClr val="accent2">
                  <a:lumMod val="40000"/>
                  <a:lumOff val="60000"/>
                </a:schemeClr>
              </a:solidFill>
              <a:effectLst/>
            </a:rPr>
            <a:t>Example</a:t>
          </a:r>
        </a:p>
      </xdr:txBody>
    </xdr:sp>
    <xdr:clientData/>
  </xdr:oneCellAnchor>
  <xdr:twoCellAnchor>
    <xdr:from>
      <xdr:col>5</xdr:col>
      <xdr:colOff>628650</xdr:colOff>
      <xdr:row>10</xdr:row>
      <xdr:rowOff>128585</xdr:rowOff>
    </xdr:from>
    <xdr:to>
      <xdr:col>6</xdr:col>
      <xdr:colOff>1181101</xdr:colOff>
      <xdr:row>17</xdr:row>
      <xdr:rowOff>19049</xdr:rowOff>
    </xdr:to>
    <xdr:sp macro="" textlink="">
      <xdr:nvSpPr>
        <xdr:cNvPr id="3" name="TextBox 2">
          <a:extLst>
            <a:ext uri="{FF2B5EF4-FFF2-40B4-BE49-F238E27FC236}">
              <a16:creationId xmlns:a16="http://schemas.microsoft.com/office/drawing/2014/main" id="{68A7DBD2-3520-E7E5-18B5-9EB3908E3CE3}"/>
            </a:ext>
          </a:extLst>
        </xdr:cNvPr>
        <xdr:cNvSpPr txBox="1"/>
      </xdr:nvSpPr>
      <xdr:spPr>
        <a:xfrm>
          <a:off x="7315200" y="2643185"/>
          <a:ext cx="1933576" cy="12906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b="1"/>
            <a:t>Category Ref:</a:t>
          </a:r>
        </a:p>
        <a:p>
          <a:pPr lvl="0"/>
          <a:r>
            <a:rPr lang="en-US" b="1"/>
            <a:t>CAT-1:</a:t>
          </a:r>
          <a:r>
            <a:rPr lang="en-US"/>
            <a:t> Primary Hardware</a:t>
          </a:r>
        </a:p>
        <a:p>
          <a:pPr lvl="0"/>
          <a:r>
            <a:rPr lang="en-US" b="1"/>
            <a:t>CAT-2:</a:t>
          </a:r>
          <a:r>
            <a:rPr lang="en-US"/>
            <a:t> Parts &amp; Accessories</a:t>
          </a:r>
        </a:p>
        <a:p>
          <a:pPr lvl="0"/>
          <a:r>
            <a:rPr lang="en-US" b="1"/>
            <a:t>CAT-3:</a:t>
          </a:r>
          <a:r>
            <a:rPr lang="en-US"/>
            <a:t> Software / SaaS</a:t>
          </a:r>
        </a:p>
        <a:p>
          <a:pPr lvl="0"/>
          <a:r>
            <a:rPr lang="en-US" b="1"/>
            <a:t>CAT-4:</a:t>
          </a:r>
          <a:r>
            <a:rPr lang="en-US"/>
            <a:t> Support &amp; Maintenance</a:t>
          </a:r>
        </a:p>
        <a:p>
          <a:pPr lvl="0"/>
          <a:r>
            <a:rPr lang="en-US" b="1"/>
            <a:t>CAT-5:</a:t>
          </a:r>
          <a:r>
            <a:rPr lang="en-US"/>
            <a:t> Professional Services</a:t>
          </a:r>
        </a:p>
        <a:p>
          <a:pPr lvl="0"/>
          <a:r>
            <a:rPr lang="en-US" b="1"/>
            <a:t>CAT-6:</a:t>
          </a:r>
          <a:r>
            <a:rPr lang="en-US"/>
            <a:t> Training</a:t>
          </a: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300078</xdr:colOff>
      <xdr:row>2</xdr:row>
      <xdr:rowOff>347532</xdr:rowOff>
    </xdr:from>
    <xdr:ext cx="2657394" cy="937693"/>
    <xdr:sp macro="" textlink="">
      <xdr:nvSpPr>
        <xdr:cNvPr id="2" name="Rectangle 1">
          <a:extLst>
            <a:ext uri="{FF2B5EF4-FFF2-40B4-BE49-F238E27FC236}">
              <a16:creationId xmlns:a16="http://schemas.microsoft.com/office/drawing/2014/main" id="{8EFFEFB1-5C7D-444C-BE5B-F80CA9473F68}"/>
            </a:ext>
          </a:extLst>
        </xdr:cNvPr>
        <xdr:cNvSpPr/>
      </xdr:nvSpPr>
      <xdr:spPr>
        <a:xfrm rot="20127730">
          <a:off x="8367753" y="728532"/>
          <a:ext cx="2657394" cy="937693"/>
        </a:xfrm>
        <a:prstGeom prst="rect">
          <a:avLst/>
        </a:prstGeom>
        <a:noFill/>
      </xdr:spPr>
      <xdr:txBody>
        <a:bodyPr wrap="none" lIns="91440" tIns="45720" rIns="91440" bIns="45720">
          <a:spAutoFit/>
        </a:bodyPr>
        <a:lstStyle/>
        <a:p>
          <a:pPr algn="ctr"/>
          <a:r>
            <a:rPr lang="en-US" sz="5400" b="1" cap="none" spc="0">
              <a:ln w="22225">
                <a:solidFill>
                  <a:schemeClr val="accent2"/>
                </a:solidFill>
                <a:prstDash val="solid"/>
              </a:ln>
              <a:solidFill>
                <a:schemeClr val="accent2">
                  <a:lumMod val="40000"/>
                  <a:lumOff val="60000"/>
                </a:schemeClr>
              </a:solidFill>
              <a:effectLst/>
            </a:rPr>
            <a:t>Example</a:t>
          </a:r>
        </a:p>
      </xdr:txBody>
    </xdr:sp>
    <xdr:clientData/>
  </xdr:oneCellAnchor>
  <xdr:twoCellAnchor>
    <xdr:from>
      <xdr:col>5</xdr:col>
      <xdr:colOff>885825</xdr:colOff>
      <xdr:row>10</xdr:row>
      <xdr:rowOff>57150</xdr:rowOff>
    </xdr:from>
    <xdr:to>
      <xdr:col>6</xdr:col>
      <xdr:colOff>1438276</xdr:colOff>
      <xdr:row>16</xdr:row>
      <xdr:rowOff>147639</xdr:rowOff>
    </xdr:to>
    <xdr:sp macro="" textlink="">
      <xdr:nvSpPr>
        <xdr:cNvPr id="3" name="TextBox 2">
          <a:extLst>
            <a:ext uri="{FF2B5EF4-FFF2-40B4-BE49-F238E27FC236}">
              <a16:creationId xmlns:a16="http://schemas.microsoft.com/office/drawing/2014/main" id="{7179C338-1151-464F-873B-C86B564B81D2}"/>
            </a:ext>
          </a:extLst>
        </xdr:cNvPr>
        <xdr:cNvSpPr txBox="1"/>
      </xdr:nvSpPr>
      <xdr:spPr>
        <a:xfrm>
          <a:off x="7572375" y="2571750"/>
          <a:ext cx="1933576" cy="12906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b="1"/>
            <a:t>Category Ref:</a:t>
          </a:r>
        </a:p>
        <a:p>
          <a:pPr lvl="0"/>
          <a:r>
            <a:rPr lang="en-US" b="1"/>
            <a:t>CAT-1:</a:t>
          </a:r>
          <a:r>
            <a:rPr lang="en-US"/>
            <a:t> Primary Hardware</a:t>
          </a:r>
        </a:p>
        <a:p>
          <a:pPr lvl="0"/>
          <a:r>
            <a:rPr lang="en-US" b="1"/>
            <a:t>CAT-2:</a:t>
          </a:r>
          <a:r>
            <a:rPr lang="en-US"/>
            <a:t> Parts &amp; Accessories</a:t>
          </a:r>
        </a:p>
        <a:p>
          <a:pPr lvl="0"/>
          <a:r>
            <a:rPr lang="en-US" b="1"/>
            <a:t>CAT-3:</a:t>
          </a:r>
          <a:r>
            <a:rPr lang="en-US"/>
            <a:t> Software / SaaS</a:t>
          </a:r>
        </a:p>
        <a:p>
          <a:pPr lvl="0"/>
          <a:r>
            <a:rPr lang="en-US" b="1"/>
            <a:t>CAT-4:</a:t>
          </a:r>
          <a:r>
            <a:rPr lang="en-US"/>
            <a:t> Support &amp; Maintenance</a:t>
          </a:r>
        </a:p>
        <a:p>
          <a:pPr lvl="0"/>
          <a:r>
            <a:rPr lang="en-US" b="1"/>
            <a:t>CAT-5:</a:t>
          </a:r>
          <a:r>
            <a:rPr lang="en-US"/>
            <a:t> Professional Services</a:t>
          </a:r>
        </a:p>
        <a:p>
          <a:pPr lvl="0"/>
          <a:r>
            <a:rPr lang="en-US" b="1"/>
            <a:t>CAT-6:</a:t>
          </a:r>
          <a:r>
            <a:rPr lang="en-US"/>
            <a:t> Training</a:t>
          </a: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xdr:col>
      <xdr:colOff>300078</xdr:colOff>
      <xdr:row>2</xdr:row>
      <xdr:rowOff>347532</xdr:rowOff>
    </xdr:from>
    <xdr:ext cx="2657394" cy="937693"/>
    <xdr:sp macro="" textlink="">
      <xdr:nvSpPr>
        <xdr:cNvPr id="2" name="Rectangle 1">
          <a:extLst>
            <a:ext uri="{FF2B5EF4-FFF2-40B4-BE49-F238E27FC236}">
              <a16:creationId xmlns:a16="http://schemas.microsoft.com/office/drawing/2014/main" id="{513213CA-6642-4DCF-BD19-6B106096D508}"/>
            </a:ext>
          </a:extLst>
        </xdr:cNvPr>
        <xdr:cNvSpPr/>
      </xdr:nvSpPr>
      <xdr:spPr>
        <a:xfrm rot="20127730">
          <a:off x="8367753" y="728532"/>
          <a:ext cx="2657394" cy="937693"/>
        </a:xfrm>
        <a:prstGeom prst="rect">
          <a:avLst/>
        </a:prstGeom>
        <a:noFill/>
      </xdr:spPr>
      <xdr:txBody>
        <a:bodyPr wrap="none" lIns="91440" tIns="45720" rIns="91440" bIns="45720">
          <a:spAutoFit/>
        </a:bodyPr>
        <a:lstStyle/>
        <a:p>
          <a:pPr algn="ctr"/>
          <a:r>
            <a:rPr lang="en-US" sz="5400" b="1" cap="none" spc="0">
              <a:ln w="22225">
                <a:solidFill>
                  <a:schemeClr val="accent2"/>
                </a:solidFill>
                <a:prstDash val="solid"/>
              </a:ln>
              <a:solidFill>
                <a:schemeClr val="accent2">
                  <a:lumMod val="40000"/>
                  <a:lumOff val="60000"/>
                </a:schemeClr>
              </a:solidFill>
              <a:effectLst/>
            </a:rPr>
            <a:t>Example</a:t>
          </a:r>
        </a:p>
      </xdr:txBody>
    </xdr:sp>
    <xdr:clientData/>
  </xdr:oneCellAnchor>
  <xdr:twoCellAnchor>
    <xdr:from>
      <xdr:col>5</xdr:col>
      <xdr:colOff>904875</xdr:colOff>
      <xdr:row>10</xdr:row>
      <xdr:rowOff>38100</xdr:rowOff>
    </xdr:from>
    <xdr:to>
      <xdr:col>6</xdr:col>
      <xdr:colOff>1457326</xdr:colOff>
      <xdr:row>16</xdr:row>
      <xdr:rowOff>128589</xdr:rowOff>
    </xdr:to>
    <xdr:sp macro="" textlink="">
      <xdr:nvSpPr>
        <xdr:cNvPr id="3" name="TextBox 2">
          <a:extLst>
            <a:ext uri="{FF2B5EF4-FFF2-40B4-BE49-F238E27FC236}">
              <a16:creationId xmlns:a16="http://schemas.microsoft.com/office/drawing/2014/main" id="{EA8D2354-3404-490D-9BE8-F2DCCC2A900D}"/>
            </a:ext>
          </a:extLst>
        </xdr:cNvPr>
        <xdr:cNvSpPr txBox="1"/>
      </xdr:nvSpPr>
      <xdr:spPr>
        <a:xfrm>
          <a:off x="7705725" y="2552700"/>
          <a:ext cx="1933576" cy="12906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b="1"/>
            <a:t>Category Ref:</a:t>
          </a:r>
        </a:p>
        <a:p>
          <a:pPr lvl="0"/>
          <a:r>
            <a:rPr lang="en-US" b="1"/>
            <a:t>CAT-1:</a:t>
          </a:r>
          <a:r>
            <a:rPr lang="en-US"/>
            <a:t> Primary Hardware</a:t>
          </a:r>
        </a:p>
        <a:p>
          <a:pPr lvl="0"/>
          <a:r>
            <a:rPr lang="en-US" b="1"/>
            <a:t>CAT-2:</a:t>
          </a:r>
          <a:r>
            <a:rPr lang="en-US"/>
            <a:t> Parts &amp; Accessories</a:t>
          </a:r>
        </a:p>
        <a:p>
          <a:pPr lvl="0"/>
          <a:r>
            <a:rPr lang="en-US" b="1"/>
            <a:t>CAT-3:</a:t>
          </a:r>
          <a:r>
            <a:rPr lang="en-US"/>
            <a:t> Software / SaaS</a:t>
          </a:r>
        </a:p>
        <a:p>
          <a:pPr lvl="0"/>
          <a:r>
            <a:rPr lang="en-US" b="1"/>
            <a:t>CAT-4:</a:t>
          </a:r>
          <a:r>
            <a:rPr lang="en-US"/>
            <a:t> Support &amp; Maintenance</a:t>
          </a:r>
        </a:p>
        <a:p>
          <a:pPr lvl="0"/>
          <a:r>
            <a:rPr lang="en-US" b="1"/>
            <a:t>CAT-5:</a:t>
          </a:r>
          <a:r>
            <a:rPr lang="en-US"/>
            <a:t> Professional Services</a:t>
          </a:r>
        </a:p>
        <a:p>
          <a:pPr lvl="0"/>
          <a:r>
            <a:rPr lang="en-US" b="1"/>
            <a:t>CAT-6:</a:t>
          </a:r>
          <a:r>
            <a:rPr lang="en-US"/>
            <a:t> Training</a:t>
          </a: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300078</xdr:colOff>
      <xdr:row>2</xdr:row>
      <xdr:rowOff>347532</xdr:rowOff>
    </xdr:from>
    <xdr:ext cx="2657394" cy="937693"/>
    <xdr:sp macro="" textlink="">
      <xdr:nvSpPr>
        <xdr:cNvPr id="2" name="Rectangle 1">
          <a:extLst>
            <a:ext uri="{FF2B5EF4-FFF2-40B4-BE49-F238E27FC236}">
              <a16:creationId xmlns:a16="http://schemas.microsoft.com/office/drawing/2014/main" id="{CE5F45EF-C11D-4906-AD0E-FEEDB2AC11CA}"/>
            </a:ext>
          </a:extLst>
        </xdr:cNvPr>
        <xdr:cNvSpPr/>
      </xdr:nvSpPr>
      <xdr:spPr>
        <a:xfrm rot="20127730">
          <a:off x="8367753" y="728532"/>
          <a:ext cx="2657394" cy="937693"/>
        </a:xfrm>
        <a:prstGeom prst="rect">
          <a:avLst/>
        </a:prstGeom>
        <a:noFill/>
      </xdr:spPr>
      <xdr:txBody>
        <a:bodyPr wrap="none" lIns="91440" tIns="45720" rIns="91440" bIns="45720">
          <a:spAutoFit/>
        </a:bodyPr>
        <a:lstStyle/>
        <a:p>
          <a:pPr algn="ctr"/>
          <a:r>
            <a:rPr lang="en-US" sz="5400" b="1" cap="none" spc="0">
              <a:ln w="22225">
                <a:solidFill>
                  <a:schemeClr val="accent2"/>
                </a:solidFill>
                <a:prstDash val="solid"/>
              </a:ln>
              <a:solidFill>
                <a:schemeClr val="accent2">
                  <a:lumMod val="40000"/>
                  <a:lumOff val="60000"/>
                </a:schemeClr>
              </a:solidFill>
              <a:effectLst/>
            </a:rPr>
            <a:t>Example</a:t>
          </a:r>
        </a:p>
      </xdr:txBody>
    </xdr:sp>
    <xdr:clientData/>
  </xdr:oneCellAnchor>
  <xdr:twoCellAnchor>
    <xdr:from>
      <xdr:col>10</xdr:col>
      <xdr:colOff>752475</xdr:colOff>
      <xdr:row>10</xdr:row>
      <xdr:rowOff>180975</xdr:rowOff>
    </xdr:from>
    <xdr:to>
      <xdr:col>12</xdr:col>
      <xdr:colOff>781051</xdr:colOff>
      <xdr:row>17</xdr:row>
      <xdr:rowOff>71439</xdr:rowOff>
    </xdr:to>
    <xdr:sp macro="" textlink="">
      <xdr:nvSpPr>
        <xdr:cNvPr id="3" name="TextBox 2">
          <a:extLst>
            <a:ext uri="{FF2B5EF4-FFF2-40B4-BE49-F238E27FC236}">
              <a16:creationId xmlns:a16="http://schemas.microsoft.com/office/drawing/2014/main" id="{41C3B3DD-9EE6-4404-B417-3871C8BD4885}"/>
            </a:ext>
          </a:extLst>
        </xdr:cNvPr>
        <xdr:cNvSpPr txBox="1"/>
      </xdr:nvSpPr>
      <xdr:spPr>
        <a:xfrm>
          <a:off x="13335000" y="2695575"/>
          <a:ext cx="1933576" cy="12906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b="1"/>
            <a:t>Category Ref:</a:t>
          </a:r>
        </a:p>
        <a:p>
          <a:pPr lvl="0"/>
          <a:r>
            <a:rPr lang="en-US" b="1"/>
            <a:t>CAT-1:</a:t>
          </a:r>
          <a:r>
            <a:rPr lang="en-US"/>
            <a:t> Primary Hardware</a:t>
          </a:r>
        </a:p>
        <a:p>
          <a:pPr lvl="0"/>
          <a:r>
            <a:rPr lang="en-US" b="1"/>
            <a:t>CAT-2:</a:t>
          </a:r>
          <a:r>
            <a:rPr lang="en-US"/>
            <a:t> Parts &amp; Accessories</a:t>
          </a:r>
        </a:p>
        <a:p>
          <a:pPr lvl="0"/>
          <a:r>
            <a:rPr lang="en-US" b="1"/>
            <a:t>CAT-3:</a:t>
          </a:r>
          <a:r>
            <a:rPr lang="en-US"/>
            <a:t> Software / SaaS</a:t>
          </a:r>
        </a:p>
        <a:p>
          <a:pPr lvl="0"/>
          <a:r>
            <a:rPr lang="en-US" b="1"/>
            <a:t>CAT-4:</a:t>
          </a:r>
          <a:r>
            <a:rPr lang="en-US"/>
            <a:t> Support &amp; Maintenance</a:t>
          </a:r>
        </a:p>
        <a:p>
          <a:pPr lvl="0"/>
          <a:r>
            <a:rPr lang="en-US" b="1"/>
            <a:t>CAT-5:</a:t>
          </a:r>
          <a:r>
            <a:rPr lang="en-US"/>
            <a:t> Professional Services</a:t>
          </a:r>
        </a:p>
        <a:p>
          <a:pPr lvl="0"/>
          <a:r>
            <a:rPr lang="en-US" b="1"/>
            <a:t>CAT-6:</a:t>
          </a:r>
          <a:r>
            <a:rPr lang="en-US"/>
            <a:t> Training</a:t>
          </a: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1503207</xdr:colOff>
      <xdr:row>2</xdr:row>
      <xdr:rowOff>159701</xdr:rowOff>
    </xdr:from>
    <xdr:ext cx="4088651" cy="749983"/>
    <xdr:sp macro="" textlink="">
      <xdr:nvSpPr>
        <xdr:cNvPr id="2" name="Rectangle 1">
          <a:extLst>
            <a:ext uri="{FF2B5EF4-FFF2-40B4-BE49-F238E27FC236}">
              <a16:creationId xmlns:a16="http://schemas.microsoft.com/office/drawing/2014/main" id="{846434F6-A7A1-4E5B-7BB7-2EBDED2A640C}"/>
            </a:ext>
          </a:extLst>
        </xdr:cNvPr>
        <xdr:cNvSpPr/>
      </xdr:nvSpPr>
      <xdr:spPr>
        <a:xfrm rot="20655245">
          <a:off x="2970057" y="540701"/>
          <a:ext cx="4088651" cy="749983"/>
        </a:xfrm>
        <a:prstGeom prst="rect">
          <a:avLst/>
        </a:prstGeom>
        <a:noFill/>
      </xdr:spPr>
      <xdr:txBody>
        <a:bodyPr wrap="square" lIns="91440" tIns="45720" rIns="91440" bIns="45720">
          <a:noAutofit/>
        </a:bodyPr>
        <a:lstStyle/>
        <a:p>
          <a:pPr algn="ctr"/>
          <a:r>
            <a:rPr lang="en-US" sz="5400" b="1" cap="none" spc="0">
              <a:ln w="22225">
                <a:solidFill>
                  <a:schemeClr val="accent2"/>
                </a:solidFill>
                <a:prstDash val="solid"/>
              </a:ln>
              <a:solidFill>
                <a:schemeClr val="accent2">
                  <a:lumMod val="40000"/>
                  <a:lumOff val="60000"/>
                </a:schemeClr>
              </a:solidFill>
              <a:effectLst/>
            </a:rPr>
            <a:t>Example</a:t>
          </a:r>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EF0081C-4301-486B-B9EF-4CB606137B89}" name="Table1" displayName="Table1" ref="A3:D14" totalsRowShown="0" headerRowDxfId="155" headerRowBorderDxfId="154" tableBorderDxfId="153" totalsRowBorderDxfId="152">
  <autoFilter ref="A3:D14" xr:uid="{6EF0081C-4301-486B-B9EF-4CB606137B89}">
    <filterColumn colId="0" hiddenButton="1"/>
    <filterColumn colId="1" hiddenButton="1"/>
    <filterColumn colId="2" hiddenButton="1"/>
    <filterColumn colId="3" hiddenButton="1"/>
  </autoFilter>
  <tableColumns count="4">
    <tableColumn id="1" xr3:uid="{98646490-C76A-4653-8E26-5DBB91E85FA5}" name="Category ID" dataDxfId="151"/>
    <tableColumn id="2" xr3:uid="{066A99C7-7B38-49A2-848D-28D6560B2A6A}" name="Functional_x000a_Sub-Category" dataDxfId="150"/>
    <tableColumn id="3" xr3:uid="{F7E0822E-AE19-4168-8540-FC10B754660F}" name="Minimum % Discount off MSRP_x000a_or Discount" dataDxfId="149"/>
    <tableColumn id="4" xr3:uid="{DAEA6E50-A4F7-4F21-9EA2-D2945AEE971C}" name="MSRP Source Link/Ref" dataDxfId="148"/>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7893B5E-B035-4D13-8C0D-A9F61E539561}" name="Table21826" displayName="Table21826" ref="A3:N9" totalsRowShown="0" headerRowDxfId="70" headerRowBorderDxfId="69" tableBorderDxfId="68" totalsRowBorderDxfId="67">
  <autoFilter ref="A3:N9" xr:uid="{EEA029CB-0C78-42CD-A558-1F41644CC3F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42AB3FD3-FD7F-4726-BD90-40ABEFF28AB7}" name="Item Description"/>
    <tableColumn id="2" xr3:uid="{C5E92EE4-C609-4748-9E06-D23CF853D3F8}" name="Model #_x000a_(Invoice Reference)"/>
    <tableColumn id="3" xr3:uid="{95947F10-2602-4D88-8A3E-B5142200C015}" name="Category Ref" dataDxfId="66"/>
    <tableColumn id="14" xr3:uid="{53BDD3E1-F8E7-441D-8083-78B8AFF13F81}" name="Component_x000a_Description" dataDxfId="65"/>
    <tableColumn id="4" xr3:uid="{AB9A5FBC-872F-42B9-9538-34318DC18922}" name="MSRP"/>
    <tableColumn id="13" xr3:uid="{7AB4C2D9-6480-4AFE-AC02-1F694330FBC2}" name="UOM" dataDxfId="64"/>
    <tableColumn id="5" xr3:uid="{27622ACC-977D-4F15-8E08-56C88872A4E7}" name="Contract Price (MSRP - Disc%)"/>
    <tableColumn id="6" xr3:uid="{A3E62971-41E9-4648-AEFC-5BE8FF3458BE}" name="Qty"/>
    <tableColumn id="7" xr3:uid="{233BD0A5-EE62-4E32-8DF4-CC372BD7E34B}" name="Year 1 Cost"/>
    <tableColumn id="12" xr3:uid="{56A33C31-E8D0-49CC-AE82-A179DFACE3AA}" name="Year 2 Cost" dataDxfId="63"/>
    <tableColumn id="11" xr3:uid="{BAC3E43C-5AEF-4E92-BE7F-375C0DE434F6}" name="Year 3 Cost" dataDxfId="62"/>
    <tableColumn id="10" xr3:uid="{55A929E4-064B-4EFC-9591-A33ECE22D9BA}" name="Year 4 Cost" dataDxfId="61"/>
    <tableColumn id="8" xr3:uid="{D4333763-583E-4DDA-A130-D6D80EBEE29B}" name="Year 5 Cost"/>
    <tableColumn id="9" xr3:uid="{77C6B928-90B3-44FC-AC6C-4BABE8D39D01}" name="5-Year TCO Total" dataDxfId="60"/>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0F0AA84-1DE0-483A-8281-A0FB85DFF1B1}" name="Table2810" displayName="Table2810" ref="A21:N26" totalsRowShown="0" headerRowDxfId="59" dataDxfId="57" headerRowBorderDxfId="58" tableBorderDxfId="56" totalsRowBorderDxfId="55">
  <autoFilter ref="A21:N26" xr:uid="{D0F0AA84-1DE0-483A-8281-A0FB85DFF1B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EE7B8B00-2B80-42D0-81A8-9C914CA87237}" name="Item Description" dataDxfId="54"/>
    <tableColumn id="2" xr3:uid="{9DDDBB54-F62B-4463-A1ED-86B600386851}" name="Model #" dataDxfId="53"/>
    <tableColumn id="3" xr3:uid="{7D77511A-22F9-4423-A942-52A2E6101585}" name="Category Ref" dataDxfId="52"/>
    <tableColumn id="14" xr3:uid="{CEAD2C95-C9EE-4BEF-910D-439E7BDB20A0}" name="Component_x000a_Description" dataDxfId="51"/>
    <tableColumn id="4" xr3:uid="{C8747153-9A19-41EC-B11E-CA017BE4D8D7}" name="Base Rate"/>
    <tableColumn id="13" xr3:uid="{B3D58C34-54A3-4AC2-B9E9-ECA169B8CFC1}" name="UOM" dataDxfId="50"/>
    <tableColumn id="5" xr3:uid="{5C1133F6-6214-4D2B-A000-409DE508C25C}" name="Contract Price_x000a_(Base Rate - Disc %)" dataDxfId="49"/>
    <tableColumn id="6" xr3:uid="{26DCA036-7B51-4751-ADD0-E6B73E785515}" name="Total Qty" dataDxfId="48"/>
    <tableColumn id="7" xr3:uid="{E6569E92-EC8D-4F95-B052-65A66ADB5054}" name="Year 1 Cost" dataDxfId="47"/>
    <tableColumn id="12" xr3:uid="{BBD2CD85-BD9C-4F67-9250-A2F4E33A7BA0}" name="Year 2 Cost" dataDxfId="46"/>
    <tableColumn id="11" xr3:uid="{5F09DAC6-7AAC-40BC-BC8D-E2C3F2B83182}" name="Year 3 Cost" dataDxfId="45"/>
    <tableColumn id="10" xr3:uid="{D926BAB0-1DEF-4AFF-ACAC-4707B542026C}" name="Year 4 Cost" dataDxfId="44"/>
    <tableColumn id="8" xr3:uid="{F6A6045E-DAE6-4E7A-8415-C12B568B4997}" name="Year 5 Cost" dataDxfId="43"/>
    <tableColumn id="9" xr3:uid="{74593AD8-1612-4839-9645-D8B447AD321C}" name="5-Year TCO Total" dataDxfId="42">
      <calculatedColumnFormula>SUM(Table289[[#This Row],[Year 1 Cost]:[Year 5 Cost]])</calculatedColumnFormula>
    </tableColum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6F2B66A7-12FC-453E-99D0-AC65FFF291E6}" name="Table218" displayName="Table218" ref="A3:N9" totalsRowShown="0" headerRowDxfId="41" headerRowBorderDxfId="40" tableBorderDxfId="39" totalsRowBorderDxfId="38">
  <autoFilter ref="A3:N9" xr:uid="{EEA029CB-0C78-42CD-A558-1F41644CC3F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BFA5EC99-632A-49A3-BF34-0B1559E77099}" name="Item Description"/>
    <tableColumn id="2" xr3:uid="{006272A2-0EC5-4BBC-81DC-C16BE0A24CD1}" name="Model #_x000a_(Invoice Reference)"/>
    <tableColumn id="3" xr3:uid="{422B15A5-0260-40D2-99EC-F26588C5B299}" name="Category Ref" dataDxfId="37"/>
    <tableColumn id="14" xr3:uid="{40C6FB03-1DD4-443E-9106-6C282DBD3EC6}" name="Component_x000a_Description" dataDxfId="36"/>
    <tableColumn id="4" xr3:uid="{4573AA41-ADE2-48C0-903C-E77F784F17DE}" name="MSRP"/>
    <tableColumn id="13" xr3:uid="{E1069E39-4368-49BA-BA68-EEB5CE8D533D}" name="UOM" dataDxfId="35"/>
    <tableColumn id="5" xr3:uid="{B775F3DE-F035-4446-BC4B-597573B1DCB9}" name="Contract Price (MSRP - Disc%)"/>
    <tableColumn id="6" xr3:uid="{BB4DB5AB-6EB3-404C-987E-FBE3D131ECCF}" name="Qty"/>
    <tableColumn id="7" xr3:uid="{FF534A8B-5B8A-4BAB-B8AA-E25ABF42201D}" name="Year 1 Cost"/>
    <tableColumn id="12" xr3:uid="{56A67D5A-CC4C-49AD-AA51-339410AAD40D}" name="Year 2 Cost" dataDxfId="34"/>
    <tableColumn id="11" xr3:uid="{5DF28FFB-242C-430E-B8A2-D7398962F2FF}" name="Year 3 Cost" dataDxfId="33"/>
    <tableColumn id="10" xr3:uid="{622F9265-DA9B-4721-A783-241A3BC1C0CF}" name="Year 4 Cost" dataDxfId="32"/>
    <tableColumn id="8" xr3:uid="{57D7621B-3327-461A-91CC-293E0668EC4C}" name="Year 5 Cost"/>
    <tableColumn id="9" xr3:uid="{27D76BA7-DE9E-44BD-A4DB-0786398E9ECC}" name="5-Year TCO Total" dataDxfId="31"/>
  </tableColumns>
  <tableStyleInfo name="TableStyleMedium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4012737-5ECB-41BE-AB63-4CFB55A8C4BD}" name="Table2811" displayName="Table2811" ref="A21:N26" totalsRowShown="0" headerRowDxfId="30" headerRowBorderDxfId="29" tableBorderDxfId="28" totalsRowBorderDxfId="27">
  <autoFilter ref="A21:N26" xr:uid="{94012737-5ECB-41BE-AB63-4CFB55A8C4B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DBEE8E59-1D2D-48D5-8CEC-9DAAFBB7CB9C}" name="Item Description"/>
    <tableColumn id="2" xr3:uid="{B198425D-9F9C-4AAC-8FFD-5B3CB0514BD8}" name="Model #"/>
    <tableColumn id="3" xr3:uid="{C4BF8B70-263D-4CB7-864C-3CF0CC357290}" name="Category Ref" dataDxfId="26"/>
    <tableColumn id="14" xr3:uid="{6C733AC9-FC2C-4870-A00C-CFE12F4D3F86}" name="Component_x000a_Description" dataDxfId="25"/>
    <tableColumn id="4" xr3:uid="{088FE7AD-33EF-4539-9E22-6C810AB2B305}" name="Base Rate"/>
    <tableColumn id="13" xr3:uid="{98B1B39B-0785-4DDC-8519-96110526E25F}" name="UOM" dataDxfId="24"/>
    <tableColumn id="5" xr3:uid="{6EC9B283-86B6-4BF8-B04D-29B2D22FA0AE}" name="Contract Price_x000a_(Base Rate - Disc %)"/>
    <tableColumn id="6" xr3:uid="{6D14D0D8-4821-40D3-AD26-0B45F87F440A}" name="Total Qty"/>
    <tableColumn id="7" xr3:uid="{ABCE1356-E43A-408A-8E24-F73E1C3C211F}" name="Year 1 Cost"/>
    <tableColumn id="12" xr3:uid="{9A86D3C1-49E3-46BA-BA33-725DAF5F66D9}" name="Year 2 Cost" dataDxfId="23"/>
    <tableColumn id="11" xr3:uid="{676250E4-B1CE-48DA-B49A-CF899518780F}" name="Year 3 Cost" dataDxfId="22"/>
    <tableColumn id="10" xr3:uid="{99F5054A-3F90-41E0-80B7-69D725142237}" name="Year 4 Cost" dataDxfId="21"/>
    <tableColumn id="8" xr3:uid="{77D02DE8-8907-4E4B-BA00-F6D41EB891C1}" name="Year 5 Cost"/>
    <tableColumn id="9" xr3:uid="{B4986B91-666D-49D1-A07B-3734556C01C2}" name="5-Year TCO Total" dataDxfId="20">
      <calculatedColumnFormula>SUM(Table2810[[#This Row],[Year 1 Cost]:[Year 5 Cost]])</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E82029-8C37-42C4-BCE8-F92F2C3B8A80}" name="Table3" displayName="Table3" ref="A3:E8" totalsRowShown="0" headerRowDxfId="19" dataDxfId="17" headerRowBorderDxfId="18" tableBorderDxfId="16" totalsRowBorderDxfId="15">
  <autoFilter ref="A3:E8" xr:uid="{FBE82029-8C37-42C4-BCE8-F92F2C3B8A80}">
    <filterColumn colId="0" hiddenButton="1"/>
    <filterColumn colId="1" hiddenButton="1"/>
    <filterColumn colId="2" hiddenButton="1"/>
    <filterColumn colId="3" hiddenButton="1"/>
    <filterColumn colId="4" hiddenButton="1"/>
  </autoFilter>
  <tableColumns count="5">
    <tableColumn id="1" xr3:uid="{C592C8DE-D70B-43F0-A1AA-9C8C1E836B67}" name="Phase" dataDxfId="14"/>
    <tableColumn id="2" xr3:uid="{D6D16BD0-1BB6-4477-A98E-FDB404DFD99D}" name="Action Item" dataDxfId="13"/>
    <tableColumn id="3" xr3:uid="{9E1F912B-D954-4E3D-9CBE-BC128488619E}" name="Lead Role / Department" dataDxfId="12"/>
    <tableColumn id="4" xr3:uid="{296E81FB-66BF-4D6D-AEB9-91290490F799}" name="Standard Timeline" dataDxfId="11"/>
    <tableColumn id="5" xr3:uid="{FB0154F8-15B6-475D-BED7-FFF7DF555DBF}" name="Deliverable for Purchaser" dataDxfId="10"/>
  </tableColumns>
  <tableStyleInfo name="TableStyleMedium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7513C49-7791-4861-94B6-624DE99E2846}" name="Table35" displayName="Table35" ref="A11:E16" totalsRowShown="0" headerRowDxfId="9" dataDxfId="7" headerRowBorderDxfId="8" tableBorderDxfId="6" totalsRowBorderDxfId="5">
  <autoFilter ref="A11:E16" xr:uid="{B7513C49-7791-4861-94B6-624DE99E2846}">
    <filterColumn colId="0" hiddenButton="1"/>
    <filterColumn colId="1" hiddenButton="1"/>
    <filterColumn colId="2" hiddenButton="1"/>
    <filterColumn colId="3" hiddenButton="1"/>
    <filterColumn colId="4" hiddenButton="1"/>
  </autoFilter>
  <tableColumns count="5">
    <tableColumn id="1" xr3:uid="{4FDDB5AE-E646-4A69-AFF5-685F26F75A85}" name="Phase" dataDxfId="4"/>
    <tableColumn id="2" xr3:uid="{6F0A8FAA-7B5C-4933-BB52-7F1EFE848363}" name="Action Item" dataDxfId="3"/>
    <tableColumn id="3" xr3:uid="{48A90C16-7486-4A36-A3F1-28A63A572971}" name="Lead Role / Department" dataDxfId="2"/>
    <tableColumn id="4" xr3:uid="{AD211E0D-E769-4C67-9A5F-1ABEEDB02F2F}" name="Standard Timeline" dataDxfId="1"/>
    <tableColumn id="5" xr3:uid="{A6FB90B0-591F-4FFD-B078-55DBE3098B46}" name="Deliverable for Purchaser"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7745793-0827-4FAE-8600-4865BF3D2FC1}" name="CatTable" displayName="CatTable" ref="A19:D57" totalsRowShown="0" headerRowDxfId="147" headerRowBorderDxfId="146" tableBorderDxfId="145" totalsRowBorderDxfId="144">
  <autoFilter ref="A19:D57" xr:uid="{97745793-0827-4FAE-8600-4865BF3D2FC1}">
    <filterColumn colId="0" hiddenButton="1"/>
    <filterColumn colId="1" hiddenButton="1"/>
    <filterColumn colId="2" hiddenButton="1"/>
    <filterColumn colId="3" hiddenButton="1"/>
  </autoFilter>
  <tableColumns count="4">
    <tableColumn id="1" xr3:uid="{A6D47BA0-745F-4FA0-BDBF-D114A491ABDD}" name="Category ID" dataDxfId="143"/>
    <tableColumn id="2" xr3:uid="{13C36313-881E-4782-927E-5C5F83807CDE}" name="Functional_x000a_Sub-Category" dataDxfId="142"/>
    <tableColumn id="3" xr3:uid="{10388090-464F-480A-BFC3-5A30BD34E1D5}" name="Minimum % Discount off MSRP_x000a_or Discount" dataDxfId="141"/>
    <tableColumn id="4" xr3:uid="{ABEDDFC7-BAA7-462C-8883-7BB6283334E7}" name="MSRP Source or Equivalent Link/Ref" dataDxfId="140"/>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5DE0D33-F5B5-4622-9EDF-26D8215D840A}" name="AnchorTable" displayName="AnchorTable" ref="F19:H28" totalsRowShown="0" headerRowDxfId="139" headerRowBorderDxfId="138" tableBorderDxfId="137">
  <autoFilter ref="F19:H28" xr:uid="{15DE0D33-F5B5-4622-9EDF-26D8215D840A}">
    <filterColumn colId="0" hiddenButton="1"/>
    <filterColumn colId="1" hiddenButton="1"/>
    <filterColumn colId="2" hiddenButton="1"/>
  </autoFilter>
  <tableColumns count="3">
    <tableColumn id="1" xr3:uid="{FF559259-87C2-42FA-A883-7437CAD1244D}" name="Primary Category" dataDxfId="136"/>
    <tableColumn id="2" xr3:uid="{693D6C7D-A110-4AF0-87E2-E7EE88BF9E50}" name="Qantitty" dataDxfId="135"/>
    <tableColumn id="3" xr3:uid="{A2F1143B-3013-4CDE-8FA4-8F85B53887B9}" name="Minimum % Discount off MSRP_x000a_or Discount" dataDxfId="134"/>
  </tableColumns>
  <tableStyleInfo name="TableStyleMedium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7330910-F6F9-49ED-9892-1BB10C6724B8}" name="AnchorTable12" displayName="AnchorTable12" ref="F31:H40" totalsRowShown="0" headerRowDxfId="133" headerRowBorderDxfId="132" tableBorderDxfId="131">
  <autoFilter ref="F31:H40" xr:uid="{77330910-F6F9-49ED-9892-1BB10C6724B8}">
    <filterColumn colId="0" hiddenButton="1"/>
    <filterColumn colId="1" hiddenButton="1"/>
    <filterColumn colId="2" hiddenButton="1"/>
  </autoFilter>
  <tableColumns count="3">
    <tableColumn id="1" xr3:uid="{03AC90A8-58D4-47B3-B317-095CDEFD5B63}" name="Primary Category" dataDxfId="130"/>
    <tableColumn id="2" xr3:uid="{3576CC87-2DF8-4A9E-85AB-FB98498A7437}" name="Qantitty" dataDxfId="129"/>
    <tableColumn id="3" xr3:uid="{32C38E5C-F407-4070-96CF-D635BF359C9B}" name="Discount" dataDxfId="128"/>
  </tableColumns>
  <tableStyleInfo name="TableStyleMedium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C3BA850-2064-4C4D-9910-E902D63C0928}" name="AnchorTable1213" displayName="AnchorTable1213" ref="F42:H57" totalsRowShown="0" headerRowDxfId="127" headerRowBorderDxfId="126" tableBorderDxfId="125">
  <autoFilter ref="F42:H57" xr:uid="{4C3BA850-2064-4C4D-9910-E902D63C0928}">
    <filterColumn colId="0" hiddenButton="1"/>
    <filterColumn colId="1" hiddenButton="1"/>
    <filterColumn colId="2" hiddenButton="1"/>
  </autoFilter>
  <tableColumns count="3">
    <tableColumn id="1" xr3:uid="{6DC69233-5723-432A-AF61-F8172BF3E76A}" name="Sub Category" dataDxfId="124"/>
    <tableColumn id="2" xr3:uid="{8B45EA67-054E-4C83-8C0C-AC728669A4AB}" name="Qantitty" dataDxfId="123"/>
    <tableColumn id="3" xr3:uid="{B3159DB6-C208-4854-8E09-79B3488436A9}" name="Discount" dataDxfId="122"/>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A029CB-0C78-42CD-A558-1F41644CC3F3}" name="Table2" displayName="Table2" ref="A3:N9" totalsRowShown="0" headerRowDxfId="121" headerRowBorderDxfId="120" tableBorderDxfId="119" totalsRowBorderDxfId="118">
  <autoFilter ref="A3:N9" xr:uid="{EEA029CB-0C78-42CD-A558-1F41644CC3F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B3F187C-AD4F-43E7-84FE-DE979BDD336A}" name="Item Description"/>
    <tableColumn id="2" xr3:uid="{C35B616E-6BBA-4D1E-8B7F-88AA58BC7D5A}" name="Model #_x000a_(Invoice Reference)"/>
    <tableColumn id="3" xr3:uid="{16BDDD62-ACD4-44FF-B8F9-3D005F806BAE}" name="Category Ref" dataDxfId="117"/>
    <tableColumn id="14" xr3:uid="{D689E04D-D6AC-4DBA-B240-02EFC32E98EE}" name="Component_x000a_Description" dataDxfId="116"/>
    <tableColumn id="4" xr3:uid="{160BF920-6F34-48F3-91D4-9E0476222454}" name="MSRP"/>
    <tableColumn id="13" xr3:uid="{7C192686-45ED-4166-9045-3D94245D0801}" name="UOM" dataDxfId="115"/>
    <tableColumn id="5" xr3:uid="{9DB948AD-68C6-4655-85A8-A31D382B61C3}" name="Contract Price (MSRP - Disc%)"/>
    <tableColumn id="6" xr3:uid="{4137CEDE-1747-40FE-9DCF-8550D9464F15}" name="Qty"/>
    <tableColumn id="7" xr3:uid="{4CC0E5CA-6322-45F5-A174-45BE41BDBF96}" name="Year 1 Cost"/>
    <tableColumn id="12" xr3:uid="{A7D41D5D-1CD2-40BB-9824-93618C2CD6E0}" name="Year 2 Cost" dataDxfId="114"/>
    <tableColumn id="11" xr3:uid="{912EFA46-25F3-4187-97AD-FBD069658A62}" name="Year 3 Cost" dataDxfId="113"/>
    <tableColumn id="10" xr3:uid="{B59D8FF8-AC91-46A5-8C64-0E665E9EDCC1}" name="Year 4 Cost" dataDxfId="112"/>
    <tableColumn id="8" xr3:uid="{6CA0198B-0A95-4602-AF00-1C1A76793D72}" name="Year 5 Cost"/>
    <tableColumn id="9" xr3:uid="{6B420572-A97C-461C-8EAC-4E0C2726F553}" name="5-Year TCO Total" dataDxfId="111"/>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F2AB6C5-32C5-4ED5-9AA9-096E52FB64C1}" name="Table28" displayName="Table28" ref="A21:N26" totalsRowShown="0" headerRowDxfId="110" headerRowBorderDxfId="109" tableBorderDxfId="108" totalsRowBorderDxfId="107">
  <autoFilter ref="A21:N26" xr:uid="{5F2AB6C5-32C5-4ED5-9AA9-096E52FB64C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9AA2912-888D-4F9E-A6CE-D97932326D36}" name="Item Description"/>
    <tableColumn id="2" xr3:uid="{ED54FCB8-8C63-44A1-8A57-3E7093AAB58F}" name="Model #"/>
    <tableColumn id="3" xr3:uid="{E03A0356-886C-4B6F-8825-63F3D50B6E60}" name="Category Ref" dataDxfId="106"/>
    <tableColumn id="14" xr3:uid="{1CE34191-5BD0-4244-8DFA-9439D24A41D1}" name="Component_x000a_Description" dataDxfId="105"/>
    <tableColumn id="4" xr3:uid="{527C2830-3045-422E-9761-C7EC4D264116}" name="Base Rate"/>
    <tableColumn id="13" xr3:uid="{B8A63955-9CA6-4277-AC33-C2CF992EE35A}" name="UOM" dataDxfId="104"/>
    <tableColumn id="5" xr3:uid="{C6605D9D-6642-45E6-BA30-39AFDF89CEF9}" name="Contract Price_x000a_(Base Rate - Disc %)"/>
    <tableColumn id="6" xr3:uid="{86715359-089B-4EE4-A8F7-3080F7C13899}" name="Total Qty"/>
    <tableColumn id="7" xr3:uid="{41445261-3723-470A-BE3B-BDDE3EFBE45F}" name="Year 1 Cost">
      <calculatedColumnFormula>IFERROR(Table28[[#This Row],[Total Qty]]*Table28[[#This Row],[Contract Price
(Base Rate - Disc %)]],"")</calculatedColumnFormula>
    </tableColumn>
    <tableColumn id="12" xr3:uid="{2734AB7F-C4CF-4FD2-8B31-1FB35E5A7627}" name="Year 2 Cost" dataDxfId="103"/>
    <tableColumn id="11" xr3:uid="{5E4E6A94-E57D-498F-ACD5-33A1FDD7F086}" name="Year 3 Cost" dataDxfId="102"/>
    <tableColumn id="10" xr3:uid="{700F5349-FDFE-42D7-9A57-31A22A5A8AF3}" name="Year 4 Cost" dataDxfId="101"/>
    <tableColumn id="8" xr3:uid="{1EBE5393-A125-4394-829B-61C6FDFA81DD}" name="Year 5 Cost"/>
    <tableColumn id="9" xr3:uid="{3C64533C-FAD0-4B06-A2E4-CA1AE9E2D5E6}" name="5-Year TCO Total" dataDxfId="100">
      <calculatedColumnFormula>SUM(Table28[[#This Row],[Year 1 Cost]:[Year 5 Cost]])</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EF6AAC9-6921-4DF0-A1AA-DEE36C6852EF}" name="Table2182628" displayName="Table2182628" ref="A3:N9" totalsRowShown="0" headerRowDxfId="99" headerRowBorderDxfId="98" tableBorderDxfId="97" totalsRowBorderDxfId="96">
  <autoFilter ref="A3:N9" xr:uid="{EEA029CB-0C78-42CD-A558-1F41644CC3F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4B6EA3C6-8B0F-4B6B-91DC-C499740F9C88}" name="Item Description"/>
    <tableColumn id="2" xr3:uid="{441FE4F0-2CDB-4171-9683-C0AC80CC0810}" name="Model #_x000a_(Invoice Reference)"/>
    <tableColumn id="3" xr3:uid="{7E8D577B-EB00-45D3-BC2D-29AD22AB3764}" name="Category Ref" dataDxfId="95"/>
    <tableColumn id="14" xr3:uid="{8CC30E36-99E5-4AED-844D-91AA6F21384C}" name="Component_x000a_Description" dataDxfId="94"/>
    <tableColumn id="4" xr3:uid="{F2694E90-4A19-4D33-88C0-BC33378CA1D9}" name="MSRP"/>
    <tableColumn id="13" xr3:uid="{749A7A0B-AA12-4001-96C6-A0A10231CE21}" name="UOM" dataDxfId="93"/>
    <tableColumn id="5" xr3:uid="{E8C5B4E7-014C-4B76-AADF-617F8CFA6AE1}" name="Contract Price (MSRP - Disc%)"/>
    <tableColumn id="6" xr3:uid="{F4B3EDB6-F9B2-47F2-AFA6-318416551E5F}" name="Qty"/>
    <tableColumn id="7" xr3:uid="{76DA4673-21BE-455F-90BF-DC41662C9153}" name="Year 1 Cost"/>
    <tableColumn id="12" xr3:uid="{7137064F-971F-437E-9F7E-149A984D4B5C}" name="Year 2 Cost" dataDxfId="92"/>
    <tableColumn id="11" xr3:uid="{1740F513-9E37-451D-A38F-3081FAC82085}" name="Year 3 Cost" dataDxfId="91"/>
    <tableColumn id="10" xr3:uid="{CF31A39E-E7B8-4839-9357-B95A78AC854F}" name="Year 4 Cost" dataDxfId="90"/>
    <tableColumn id="8" xr3:uid="{F86D9FDD-D586-4DC2-BEAC-DBFB7AEB2713}" name="Year 5 Cost"/>
    <tableColumn id="9" xr3:uid="{918E93F2-7761-463D-84C7-D8BDBA1C35DB}" name="5-Year TCO Total" dataDxfId="89"/>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9560C39-7274-45AD-B867-FA9207C2F1BF}" name="Table289" displayName="Table289" ref="A21:N26" totalsRowShown="0" headerRowDxfId="88" dataDxfId="86" headerRowBorderDxfId="87" tableBorderDxfId="85" totalsRowBorderDxfId="84">
  <autoFilter ref="A21:N26" xr:uid="{C9560C39-7274-45AD-B867-FA9207C2F1B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55D745F5-4435-4241-BACC-AA12CA124B1C}" name="Item Description" dataDxfId="83"/>
    <tableColumn id="2" xr3:uid="{9624E97F-396E-4121-8C73-A79A8D4750FC}" name="Model #" dataDxfId="82"/>
    <tableColumn id="3" xr3:uid="{3471FAF3-529A-49F8-A09E-F6F389F4C6E5}" name="Category Ref" dataDxfId="81"/>
    <tableColumn id="14" xr3:uid="{39227FE0-71F2-4ABE-A45B-F35DB09762EC}" name="Component_x000a_Description" dataDxfId="80"/>
    <tableColumn id="4" xr3:uid="{DA37F893-DA6C-4805-A167-5B2CC587B50D}" name="Base Rate"/>
    <tableColumn id="13" xr3:uid="{D2083AFB-CB79-48E9-A9FD-B469D9D9729A}" name="UOM" dataDxfId="79"/>
    <tableColumn id="5" xr3:uid="{FB722614-A797-4DFB-8781-B2CD9E976862}" name="Contract Price_x000a_(Base Rate - Disc %)" dataDxfId="78"/>
    <tableColumn id="6" xr3:uid="{198990DA-4EFE-4F28-A9C7-24A01684C7D3}" name="Total Qty" dataDxfId="77"/>
    <tableColumn id="7" xr3:uid="{ED7811E6-F501-44E1-A400-6393B10D4320}" name="Year 1 Cost" dataDxfId="76"/>
    <tableColumn id="12" xr3:uid="{685A8379-51CC-4F5C-853F-FC6CEB60D120}" name="Year 2 Cost" dataDxfId="75"/>
    <tableColumn id="11" xr3:uid="{84468B13-023C-4BDA-90AC-46EE7F8351F1}" name="Year 3 Cost" dataDxfId="74"/>
    <tableColumn id="10" xr3:uid="{CBD61DED-B33D-42F8-9D11-AFDF51B355B0}" name="Year 4 Cost" dataDxfId="73"/>
    <tableColumn id="8" xr3:uid="{DA6C005D-1B81-41D4-A7C6-A292B20DF6D5}" name="Year 5 Cost" dataDxfId="72"/>
    <tableColumn id="9" xr3:uid="{CD961E94-34C1-4B39-B92E-1510E8CF12D7}" name="5-Year TCO Total" dataDxfId="71">
      <calculatedColumnFormula>SUM(Table28[[#This Row],[Year 1 Cost]:[Year 5 Cost]])</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table" Target="../tables/table9.xml"/><Relationship Id="rId4" Type="http://schemas.openxmlformats.org/officeDocument/2006/relationships/table" Target="../tables/table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table" Target="../tables/table11.xml"/><Relationship Id="rId4"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table" Target="../tables/table13.xml"/><Relationship Id="rId4" Type="http://schemas.openxmlformats.org/officeDocument/2006/relationships/table" Target="../tables/table1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table" Target="../tables/table15.xml"/><Relationship Id="rId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79AF-DFDB-4856-87BC-898131591E0A}">
  <sheetPr>
    <tabColor rgb="FFFFFF00"/>
    <pageSetUpPr fitToPage="1"/>
  </sheetPr>
  <dimension ref="A1:A29"/>
  <sheetViews>
    <sheetView tabSelected="1" workbookViewId="0"/>
  </sheetViews>
  <sheetFormatPr defaultRowHeight="15" x14ac:dyDescent="0.25"/>
  <cols>
    <col min="1" max="1" width="105.42578125" style="48" customWidth="1"/>
    <col min="2" max="16384" width="9.140625" style="48"/>
  </cols>
  <sheetData>
    <row r="1" spans="1:1" x14ac:dyDescent="0.25">
      <c r="A1" s="47" t="s">
        <v>117</v>
      </c>
    </row>
    <row r="2" spans="1:1" x14ac:dyDescent="0.25">
      <c r="A2" s="47"/>
    </row>
    <row r="3" spans="1:1" x14ac:dyDescent="0.25">
      <c r="A3" s="51" t="s">
        <v>80</v>
      </c>
    </row>
    <row r="4" spans="1:1" x14ac:dyDescent="0.25">
      <c r="A4" s="65" t="s">
        <v>105</v>
      </c>
    </row>
    <row r="5" spans="1:1" x14ac:dyDescent="0.25">
      <c r="A5" s="66" t="s">
        <v>81</v>
      </c>
    </row>
    <row r="7" spans="1:1" x14ac:dyDescent="0.25">
      <c r="A7" s="49" t="s">
        <v>69</v>
      </c>
    </row>
    <row r="8" spans="1:1" x14ac:dyDescent="0.25">
      <c r="A8" s="50"/>
    </row>
    <row r="9" spans="1:1" ht="44.25" x14ac:dyDescent="0.25">
      <c r="A9" s="52" t="s">
        <v>156</v>
      </c>
    </row>
    <row r="10" spans="1:1" x14ac:dyDescent="0.25">
      <c r="A10" s="53"/>
    </row>
    <row r="11" spans="1:1" ht="44.25" x14ac:dyDescent="0.25">
      <c r="A11" s="52" t="s">
        <v>124</v>
      </c>
    </row>
    <row r="12" spans="1:1" x14ac:dyDescent="0.25">
      <c r="A12" s="53"/>
    </row>
    <row r="13" spans="1:1" ht="30" x14ac:dyDescent="0.25">
      <c r="A13" s="52" t="s">
        <v>77</v>
      </c>
    </row>
    <row r="14" spans="1:1" x14ac:dyDescent="0.25">
      <c r="A14" s="53"/>
    </row>
    <row r="15" spans="1:1" ht="45" x14ac:dyDescent="0.25">
      <c r="A15" s="52" t="s">
        <v>135</v>
      </c>
    </row>
    <row r="16" spans="1:1" x14ac:dyDescent="0.25">
      <c r="A16" s="52"/>
    </row>
    <row r="17" spans="1:1" ht="73.5" x14ac:dyDescent="0.25">
      <c r="A17" s="52" t="s">
        <v>136</v>
      </c>
    </row>
    <row r="19" spans="1:1" ht="60" x14ac:dyDescent="0.25">
      <c r="A19" s="54" t="s">
        <v>147</v>
      </c>
    </row>
    <row r="20" spans="1:1" x14ac:dyDescent="0.25">
      <c r="A20" s="55"/>
    </row>
    <row r="21" spans="1:1" ht="30" x14ac:dyDescent="0.25">
      <c r="A21" s="54" t="s">
        <v>78</v>
      </c>
    </row>
    <row r="22" spans="1:1" x14ac:dyDescent="0.25">
      <c r="A22" s="56"/>
    </row>
    <row r="23" spans="1:1" ht="30" x14ac:dyDescent="0.25">
      <c r="A23" s="57" t="s">
        <v>137</v>
      </c>
    </row>
    <row r="24" spans="1:1" x14ac:dyDescent="0.25">
      <c r="A24" s="56"/>
    </row>
    <row r="25" spans="1:1" ht="45" x14ac:dyDescent="0.25">
      <c r="A25" s="57" t="s">
        <v>138</v>
      </c>
    </row>
    <row r="26" spans="1:1" x14ac:dyDescent="0.25">
      <c r="A26" s="55"/>
    </row>
    <row r="27" spans="1:1" ht="50.25" customHeight="1" x14ac:dyDescent="0.25">
      <c r="A27" s="72" t="s">
        <v>79</v>
      </c>
    </row>
    <row r="28" spans="1:1" x14ac:dyDescent="0.25">
      <c r="A28" s="55"/>
    </row>
    <row r="29" spans="1:1" x14ac:dyDescent="0.25">
      <c r="A29" s="55"/>
    </row>
  </sheetData>
  <pageMargins left="0.7" right="0.7" top="0.75" bottom="0.75" header="0.3" footer="0.3"/>
  <pageSetup scale="9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CB9EB-F8E9-4CEE-9CB2-56962388B734}">
  <sheetPr>
    <tabColor theme="7" tint="-0.249977111117893"/>
    <pageSetUpPr fitToPage="1"/>
  </sheetPr>
  <dimension ref="A1:H57"/>
  <sheetViews>
    <sheetView zoomScaleNormal="100" workbookViewId="0">
      <selection activeCell="J18" sqref="J18"/>
    </sheetView>
  </sheetViews>
  <sheetFormatPr defaultColWidth="17.140625" defaultRowHeight="15" x14ac:dyDescent="0.25"/>
  <cols>
    <col min="1" max="1" width="16.28515625" style="9" customWidth="1"/>
    <col min="2" max="2" width="39.42578125" customWidth="1"/>
    <col min="3" max="3" width="35.5703125" customWidth="1"/>
    <col min="4" max="4" width="42.85546875" customWidth="1"/>
    <col min="5" max="5" width="2.140625" style="114" customWidth="1"/>
    <col min="6" max="6" width="19" style="114" customWidth="1"/>
    <col min="7" max="7" width="17.140625" style="114"/>
    <col min="8" max="8" width="36.140625" style="123" customWidth="1"/>
    <col min="9" max="16384" width="17.140625" style="114"/>
  </cols>
  <sheetData>
    <row r="1" spans="1:8" ht="28.5" customHeight="1" x14ac:dyDescent="0.25">
      <c r="A1" s="134" t="s">
        <v>67</v>
      </c>
      <c r="B1" s="134"/>
      <c r="C1" s="134"/>
      <c r="D1" s="134"/>
      <c r="E1" s="116"/>
      <c r="F1" s="116"/>
      <c r="G1" s="116"/>
      <c r="H1" s="117"/>
    </row>
    <row r="2" spans="1:8" x14ac:dyDescent="0.25">
      <c r="E2" s="116"/>
      <c r="F2" s="116"/>
      <c r="G2" s="116"/>
      <c r="H2" s="117"/>
    </row>
    <row r="3" spans="1:8" s="115" customFormat="1" ht="30.75" thickBot="1" x14ac:dyDescent="0.3">
      <c r="A3" s="10" t="s">
        <v>0</v>
      </c>
      <c r="B3" s="23" t="s">
        <v>9</v>
      </c>
      <c r="C3" s="23" t="s">
        <v>71</v>
      </c>
      <c r="D3" s="39" t="s">
        <v>1</v>
      </c>
      <c r="E3" s="118"/>
      <c r="F3" s="118"/>
      <c r="G3" s="118"/>
      <c r="H3" s="119"/>
    </row>
    <row r="4" spans="1:8" ht="15.75" thickBot="1" x14ac:dyDescent="0.3">
      <c r="A4" s="7" t="s">
        <v>2</v>
      </c>
      <c r="B4" s="4" t="s">
        <v>106</v>
      </c>
      <c r="C4" s="5">
        <v>20</v>
      </c>
      <c r="D4" s="6" t="s">
        <v>3</v>
      </c>
      <c r="E4" s="116"/>
      <c r="F4" s="116"/>
      <c r="G4" s="116"/>
      <c r="H4" s="117"/>
    </row>
    <row r="5" spans="1:8" ht="15.75" thickBot="1" x14ac:dyDescent="0.3">
      <c r="A5" s="8" t="s">
        <v>4</v>
      </c>
      <c r="B5" s="1" t="s">
        <v>107</v>
      </c>
      <c r="C5" s="2">
        <v>20</v>
      </c>
      <c r="D5" s="3" t="s">
        <v>3</v>
      </c>
      <c r="E5" s="116"/>
      <c r="F5" s="116"/>
      <c r="G5" s="116"/>
      <c r="H5" s="117"/>
    </row>
    <row r="6" spans="1:8" ht="15.75" thickBot="1" x14ac:dyDescent="0.3">
      <c r="A6" s="8" t="s">
        <v>5</v>
      </c>
      <c r="B6" s="1" t="s">
        <v>108</v>
      </c>
      <c r="C6" s="2">
        <v>10</v>
      </c>
      <c r="D6" s="3" t="s">
        <v>3</v>
      </c>
      <c r="E6" s="116"/>
      <c r="F6" s="116"/>
      <c r="G6" s="116"/>
      <c r="H6" s="117"/>
    </row>
    <row r="7" spans="1:8" ht="15.75" thickBot="1" x14ac:dyDescent="0.3">
      <c r="A7" s="8" t="s">
        <v>6</v>
      </c>
      <c r="B7" s="1" t="s">
        <v>109</v>
      </c>
      <c r="C7" s="2">
        <v>20</v>
      </c>
      <c r="D7" s="3" t="s">
        <v>3</v>
      </c>
      <c r="E7" s="116"/>
      <c r="F7" s="116"/>
      <c r="G7" s="116"/>
      <c r="H7" s="117"/>
    </row>
    <row r="8" spans="1:8" ht="15.75" thickBot="1" x14ac:dyDescent="0.3">
      <c r="A8" s="8" t="s">
        <v>7</v>
      </c>
      <c r="B8" s="1" t="s">
        <v>114</v>
      </c>
      <c r="C8" s="2">
        <v>18</v>
      </c>
      <c r="D8" s="3" t="s">
        <v>3</v>
      </c>
      <c r="E8" s="116"/>
      <c r="F8" s="116"/>
      <c r="G8" s="116"/>
      <c r="H8" s="117"/>
    </row>
    <row r="9" spans="1:8" ht="15.75" thickBot="1" x14ac:dyDescent="0.3">
      <c r="A9" s="8" t="s">
        <v>8</v>
      </c>
      <c r="B9" s="1" t="s">
        <v>110</v>
      </c>
      <c r="C9" s="2">
        <v>20</v>
      </c>
      <c r="D9" s="3" t="s">
        <v>3</v>
      </c>
      <c r="E9" s="116"/>
      <c r="F9" s="116"/>
      <c r="G9" s="116"/>
      <c r="H9" s="117"/>
    </row>
    <row r="10" spans="1:8" ht="15.75" thickBot="1" x14ac:dyDescent="0.3">
      <c r="A10" s="44" t="s">
        <v>111</v>
      </c>
      <c r="B10" s="45" t="s">
        <v>66</v>
      </c>
      <c r="C10" s="67">
        <v>5</v>
      </c>
      <c r="D10" s="68" t="s">
        <v>3</v>
      </c>
      <c r="E10" s="116"/>
      <c r="F10" s="116"/>
      <c r="G10" s="116"/>
      <c r="H10" s="117"/>
    </row>
    <row r="11" spans="1:8" ht="15.75" thickBot="1" x14ac:dyDescent="0.3">
      <c r="A11" s="69" t="s">
        <v>112</v>
      </c>
      <c r="B11" s="70" t="s">
        <v>115</v>
      </c>
      <c r="C11" s="71">
        <v>2</v>
      </c>
      <c r="D11" s="68" t="s">
        <v>3</v>
      </c>
      <c r="E11" s="116"/>
      <c r="F11" s="116"/>
      <c r="G11" s="116"/>
      <c r="H11" s="117"/>
    </row>
    <row r="12" spans="1:8" ht="15.75" thickBot="1" x14ac:dyDescent="0.3">
      <c r="A12" s="44" t="s">
        <v>62</v>
      </c>
      <c r="B12" s="45" t="s">
        <v>63</v>
      </c>
      <c r="C12" s="67">
        <v>18</v>
      </c>
      <c r="D12" s="68" t="s">
        <v>3</v>
      </c>
      <c r="E12" s="116"/>
      <c r="F12" s="116"/>
      <c r="G12" s="116"/>
      <c r="H12" s="117"/>
    </row>
    <row r="13" spans="1:8" ht="15.75" thickBot="1" x14ac:dyDescent="0.3">
      <c r="A13" s="44" t="s">
        <v>113</v>
      </c>
      <c r="B13" s="45" t="s">
        <v>70</v>
      </c>
      <c r="C13" s="67">
        <v>15</v>
      </c>
      <c r="D13" s="68" t="s">
        <v>3</v>
      </c>
      <c r="E13" s="116"/>
      <c r="F13" s="116"/>
      <c r="G13" s="116"/>
      <c r="H13" s="117"/>
    </row>
    <row r="14" spans="1:8" ht="15.75" thickBot="1" x14ac:dyDescent="0.3">
      <c r="A14" s="44" t="s">
        <v>116</v>
      </c>
      <c r="B14" s="45" t="s">
        <v>155</v>
      </c>
      <c r="C14" s="67">
        <v>0</v>
      </c>
      <c r="D14" s="68" t="s">
        <v>3</v>
      </c>
      <c r="E14" s="116"/>
      <c r="F14" s="116"/>
      <c r="G14" s="116"/>
      <c r="H14" s="117"/>
    </row>
    <row r="15" spans="1:8" x14ac:dyDescent="0.25">
      <c r="A15" s="120"/>
      <c r="B15" s="121"/>
      <c r="C15" s="122"/>
      <c r="D15" s="122"/>
      <c r="F15" s="140" t="s">
        <v>160</v>
      </c>
      <c r="G15" s="140"/>
      <c r="H15" s="140"/>
    </row>
    <row r="16" spans="1:8" ht="15" customHeight="1" x14ac:dyDescent="0.25">
      <c r="A16" s="75"/>
      <c r="B16" s="73" t="s">
        <v>123</v>
      </c>
      <c r="C16" s="78" t="s">
        <v>126</v>
      </c>
      <c r="D16" s="77"/>
      <c r="E16" s="109"/>
      <c r="F16" s="129"/>
      <c r="G16" s="132" t="s">
        <v>161</v>
      </c>
      <c r="H16" s="131" t="s">
        <v>141</v>
      </c>
    </row>
    <row r="17" spans="1:8" ht="15" customHeight="1" x14ac:dyDescent="0.25">
      <c r="A17" s="136" t="s">
        <v>118</v>
      </c>
      <c r="B17" s="136"/>
      <c r="C17" s="79" t="s">
        <v>140</v>
      </c>
      <c r="D17" s="76"/>
      <c r="E17" s="109"/>
      <c r="F17" s="129"/>
      <c r="G17" s="133" t="s">
        <v>162</v>
      </c>
      <c r="H17" s="130" t="b">
        <v>0</v>
      </c>
    </row>
    <row r="18" spans="1:8" ht="15.75" thickBot="1" x14ac:dyDescent="0.3">
      <c r="A18" s="135" t="s">
        <v>139</v>
      </c>
      <c r="B18" s="135"/>
      <c r="C18" s="135"/>
      <c r="D18" s="135"/>
      <c r="F18" s="139" t="s">
        <v>134</v>
      </c>
      <c r="G18" s="139"/>
      <c r="H18" s="139"/>
    </row>
    <row r="19" spans="1:8" s="123" customFormat="1" ht="30.75" thickBot="1" x14ac:dyDescent="0.3">
      <c r="A19" s="104" t="s">
        <v>0</v>
      </c>
      <c r="B19" s="105" t="s">
        <v>9</v>
      </c>
      <c r="C19" s="105" t="s">
        <v>71</v>
      </c>
      <c r="D19" s="106" t="s">
        <v>82</v>
      </c>
      <c r="E19" s="24"/>
      <c r="F19" s="96" t="s">
        <v>146</v>
      </c>
      <c r="G19" s="96" t="s">
        <v>128</v>
      </c>
      <c r="H19" s="97" t="s">
        <v>71</v>
      </c>
    </row>
    <row r="20" spans="1:8" x14ac:dyDescent="0.25">
      <c r="A20" s="101" t="s">
        <v>2</v>
      </c>
      <c r="B20" s="102" t="s">
        <v>106</v>
      </c>
      <c r="C20" s="103"/>
      <c r="D20" s="103" t="s">
        <v>3</v>
      </c>
      <c r="E20"/>
      <c r="F20" s="94" t="s">
        <v>2</v>
      </c>
      <c r="G20" s="94" t="s">
        <v>129</v>
      </c>
      <c r="H20" s="107">
        <v>0</v>
      </c>
    </row>
    <row r="21" spans="1:8" x14ac:dyDescent="0.25">
      <c r="A21" s="98" t="s">
        <v>4</v>
      </c>
      <c r="B21" s="99" t="s">
        <v>107</v>
      </c>
      <c r="C21" s="100"/>
      <c r="D21" s="100" t="s">
        <v>3</v>
      </c>
      <c r="E21"/>
      <c r="F21" s="94" t="s">
        <v>2</v>
      </c>
      <c r="G21" s="94" t="s">
        <v>130</v>
      </c>
      <c r="H21" s="107">
        <v>0</v>
      </c>
    </row>
    <row r="22" spans="1:8" ht="15.75" thickBot="1" x14ac:dyDescent="0.3">
      <c r="A22" s="98" t="s">
        <v>5</v>
      </c>
      <c r="B22" s="99" t="s">
        <v>108</v>
      </c>
      <c r="C22" s="100"/>
      <c r="D22" s="100" t="s">
        <v>3</v>
      </c>
      <c r="E22"/>
      <c r="F22" s="95" t="s">
        <v>2</v>
      </c>
      <c r="G22" s="95" t="s">
        <v>131</v>
      </c>
      <c r="H22" s="108">
        <v>0</v>
      </c>
    </row>
    <row r="23" spans="1:8" x14ac:dyDescent="0.25">
      <c r="A23" s="98" t="s">
        <v>6</v>
      </c>
      <c r="B23" s="99" t="s">
        <v>109</v>
      </c>
      <c r="C23" s="100"/>
      <c r="D23" s="100" t="s">
        <v>3</v>
      </c>
      <c r="E23"/>
      <c r="F23" s="94" t="s">
        <v>4</v>
      </c>
      <c r="G23" s="94" t="s">
        <v>129</v>
      </c>
      <c r="H23" s="107">
        <v>0</v>
      </c>
    </row>
    <row r="24" spans="1:8" x14ac:dyDescent="0.25">
      <c r="A24" s="98" t="s">
        <v>7</v>
      </c>
      <c r="B24" s="99" t="s">
        <v>114</v>
      </c>
      <c r="C24" s="100"/>
      <c r="D24" s="100" t="s">
        <v>3</v>
      </c>
      <c r="E24"/>
      <c r="F24" s="94" t="s">
        <v>4</v>
      </c>
      <c r="G24" s="94" t="s">
        <v>130</v>
      </c>
      <c r="H24" s="107">
        <v>0</v>
      </c>
    </row>
    <row r="25" spans="1:8" ht="15.75" thickBot="1" x14ac:dyDescent="0.3">
      <c r="A25" s="98" t="s">
        <v>8</v>
      </c>
      <c r="B25" s="99" t="s">
        <v>110</v>
      </c>
      <c r="C25" s="100"/>
      <c r="D25" s="100" t="s">
        <v>3</v>
      </c>
      <c r="E25"/>
      <c r="F25" s="94" t="s">
        <v>4</v>
      </c>
      <c r="G25" s="94" t="s">
        <v>131</v>
      </c>
      <c r="H25" s="107">
        <v>0</v>
      </c>
    </row>
    <row r="26" spans="1:8" x14ac:dyDescent="0.25">
      <c r="A26" s="98"/>
      <c r="B26" s="99"/>
      <c r="C26" s="100"/>
      <c r="D26" s="100"/>
      <c r="E26"/>
      <c r="F26" s="111" t="s">
        <v>5</v>
      </c>
      <c r="G26" s="111" t="s">
        <v>129</v>
      </c>
      <c r="H26" s="112">
        <v>0</v>
      </c>
    </row>
    <row r="27" spans="1:8" x14ac:dyDescent="0.25">
      <c r="A27" s="98"/>
      <c r="B27" s="99"/>
      <c r="C27" s="100"/>
      <c r="D27" s="100"/>
      <c r="E27"/>
      <c r="F27" s="94" t="s">
        <v>5</v>
      </c>
      <c r="G27" s="94" t="s">
        <v>130</v>
      </c>
      <c r="H27" s="107">
        <v>0</v>
      </c>
    </row>
    <row r="28" spans="1:8" ht="15.75" thickBot="1" x14ac:dyDescent="0.3">
      <c r="A28" s="98"/>
      <c r="B28" s="99"/>
      <c r="C28" s="100"/>
      <c r="D28" s="100"/>
      <c r="E28"/>
      <c r="F28" s="94" t="s">
        <v>5</v>
      </c>
      <c r="G28" s="95" t="s">
        <v>131</v>
      </c>
      <c r="H28" s="108">
        <v>0</v>
      </c>
    </row>
    <row r="29" spans="1:8" ht="15.75" thickBot="1" x14ac:dyDescent="0.3">
      <c r="A29" s="98"/>
      <c r="B29" s="99"/>
      <c r="C29" s="100"/>
      <c r="D29" s="100"/>
      <c r="F29" s="137" t="s">
        <v>132</v>
      </c>
      <c r="G29" s="138"/>
      <c r="H29" s="110">
        <f>AVERAGE(AnchorTable[Minimum % Discount off MSRP
or Discount])</f>
        <v>0</v>
      </c>
    </row>
    <row r="30" spans="1:8" ht="15.75" thickBot="1" x14ac:dyDescent="0.3">
      <c r="A30" s="98"/>
      <c r="B30" s="99"/>
      <c r="C30" s="100"/>
      <c r="D30" s="100"/>
    </row>
    <row r="31" spans="1:8" ht="15.75" thickBot="1" x14ac:dyDescent="0.3">
      <c r="A31" s="98"/>
      <c r="B31" s="99"/>
      <c r="C31" s="100"/>
      <c r="D31" s="100"/>
      <c r="F31" s="96" t="s">
        <v>146</v>
      </c>
      <c r="G31" s="96" t="s">
        <v>128</v>
      </c>
      <c r="H31" s="97" t="s">
        <v>158</v>
      </c>
    </row>
    <row r="32" spans="1:8" x14ac:dyDescent="0.25">
      <c r="A32" s="98"/>
      <c r="B32" s="99"/>
      <c r="C32" s="100"/>
      <c r="D32" s="100"/>
      <c r="F32" s="94" t="s">
        <v>6</v>
      </c>
      <c r="G32" s="94" t="s">
        <v>129</v>
      </c>
      <c r="H32" s="107">
        <v>0</v>
      </c>
    </row>
    <row r="33" spans="1:8" x14ac:dyDescent="0.25">
      <c r="A33" s="98"/>
      <c r="B33" s="99"/>
      <c r="C33" s="100"/>
      <c r="D33" s="100"/>
      <c r="F33" s="94" t="s">
        <v>6</v>
      </c>
      <c r="G33" s="94" t="s">
        <v>130</v>
      </c>
      <c r="H33" s="107">
        <v>0</v>
      </c>
    </row>
    <row r="34" spans="1:8" ht="15.75" thickBot="1" x14ac:dyDescent="0.3">
      <c r="A34" s="98"/>
      <c r="B34" s="99"/>
      <c r="C34" s="100"/>
      <c r="D34" s="100"/>
      <c r="F34" s="95" t="s">
        <v>6</v>
      </c>
      <c r="G34" s="95" t="s">
        <v>131</v>
      </c>
      <c r="H34" s="108">
        <v>0</v>
      </c>
    </row>
    <row r="35" spans="1:8" x14ac:dyDescent="0.25">
      <c r="A35" s="98"/>
      <c r="B35" s="99"/>
      <c r="C35" s="100"/>
      <c r="D35" s="100"/>
      <c r="F35" s="94" t="s">
        <v>7</v>
      </c>
      <c r="G35" s="94" t="s">
        <v>129</v>
      </c>
      <c r="H35" s="107">
        <v>0</v>
      </c>
    </row>
    <row r="36" spans="1:8" x14ac:dyDescent="0.25">
      <c r="A36" s="98"/>
      <c r="B36" s="99"/>
      <c r="C36" s="100"/>
      <c r="D36" s="100"/>
      <c r="F36" s="94" t="s">
        <v>7</v>
      </c>
      <c r="G36" s="94" t="s">
        <v>130</v>
      </c>
      <c r="H36" s="107">
        <v>0</v>
      </c>
    </row>
    <row r="37" spans="1:8" ht="15.75" thickBot="1" x14ac:dyDescent="0.3">
      <c r="A37" s="98"/>
      <c r="B37" s="99"/>
      <c r="C37" s="100"/>
      <c r="D37" s="100"/>
      <c r="F37" s="94" t="s">
        <v>7</v>
      </c>
      <c r="G37" s="94" t="s">
        <v>131</v>
      </c>
      <c r="H37" s="107">
        <v>0</v>
      </c>
    </row>
    <row r="38" spans="1:8" x14ac:dyDescent="0.25">
      <c r="A38" s="98"/>
      <c r="B38" s="99"/>
      <c r="C38" s="100"/>
      <c r="D38" s="100"/>
      <c r="F38" s="111" t="s">
        <v>8</v>
      </c>
      <c r="G38" s="111" t="s">
        <v>129</v>
      </c>
      <c r="H38" s="112">
        <v>0</v>
      </c>
    </row>
    <row r="39" spans="1:8" x14ac:dyDescent="0.25">
      <c r="A39" s="98"/>
      <c r="B39" s="99"/>
      <c r="C39" s="100"/>
      <c r="D39" s="100"/>
      <c r="F39" s="94" t="s">
        <v>8</v>
      </c>
      <c r="G39" s="94" t="s">
        <v>130</v>
      </c>
      <c r="H39" s="107">
        <v>0</v>
      </c>
    </row>
    <row r="40" spans="1:8" ht="15.75" thickBot="1" x14ac:dyDescent="0.3">
      <c r="A40" s="98"/>
      <c r="B40" s="99"/>
      <c r="C40" s="100"/>
      <c r="D40" s="100"/>
      <c r="F40" s="94" t="s">
        <v>8</v>
      </c>
      <c r="G40" s="95" t="s">
        <v>131</v>
      </c>
      <c r="H40" s="108">
        <v>0</v>
      </c>
    </row>
    <row r="41" spans="1:8" ht="15.75" thickBot="1" x14ac:dyDescent="0.3">
      <c r="A41" s="98"/>
      <c r="B41" s="99"/>
      <c r="C41" s="100"/>
      <c r="D41" s="100"/>
    </row>
    <row r="42" spans="1:8" ht="15.75" thickBot="1" x14ac:dyDescent="0.3">
      <c r="A42" s="98"/>
      <c r="B42" s="99"/>
      <c r="C42" s="100"/>
      <c r="D42" s="100"/>
      <c r="F42" s="96" t="s">
        <v>159</v>
      </c>
      <c r="G42" s="96" t="s">
        <v>128</v>
      </c>
      <c r="H42" s="97" t="s">
        <v>158</v>
      </c>
    </row>
    <row r="43" spans="1:8" x14ac:dyDescent="0.25">
      <c r="A43" s="98"/>
      <c r="B43" s="99"/>
      <c r="C43" s="100"/>
      <c r="D43" s="100"/>
      <c r="F43" s="94"/>
      <c r="G43" s="94" t="s">
        <v>129</v>
      </c>
      <c r="H43" s="107">
        <v>0</v>
      </c>
    </row>
    <row r="44" spans="1:8" x14ac:dyDescent="0.25">
      <c r="A44" s="98"/>
      <c r="B44" s="99"/>
      <c r="C44" s="100"/>
      <c r="D44" s="100"/>
      <c r="F44" s="94"/>
      <c r="G44" s="94" t="s">
        <v>130</v>
      </c>
      <c r="H44" s="107">
        <v>0</v>
      </c>
    </row>
    <row r="45" spans="1:8" ht="15.75" thickBot="1" x14ac:dyDescent="0.3">
      <c r="A45" s="98"/>
      <c r="B45" s="99"/>
      <c r="C45" s="100"/>
      <c r="D45" s="100"/>
      <c r="F45" s="95"/>
      <c r="G45" s="95" t="s">
        <v>131</v>
      </c>
      <c r="H45" s="108">
        <v>0</v>
      </c>
    </row>
    <row r="46" spans="1:8" x14ac:dyDescent="0.25">
      <c r="A46" s="98"/>
      <c r="B46" s="99"/>
      <c r="C46" s="100"/>
      <c r="D46" s="100"/>
      <c r="F46" s="94"/>
      <c r="G46" s="94" t="s">
        <v>129</v>
      </c>
      <c r="H46" s="107">
        <v>0</v>
      </c>
    </row>
    <row r="47" spans="1:8" x14ac:dyDescent="0.25">
      <c r="A47" s="98"/>
      <c r="B47" s="99"/>
      <c r="C47" s="100"/>
      <c r="D47" s="100"/>
      <c r="F47" s="94"/>
      <c r="G47" s="94" t="s">
        <v>130</v>
      </c>
      <c r="H47" s="107">
        <v>0</v>
      </c>
    </row>
    <row r="48" spans="1:8" ht="15.75" thickBot="1" x14ac:dyDescent="0.3">
      <c r="A48" s="98"/>
      <c r="B48" s="99"/>
      <c r="C48" s="100"/>
      <c r="D48" s="100"/>
      <c r="F48" s="94"/>
      <c r="G48" s="94" t="s">
        <v>131</v>
      </c>
      <c r="H48" s="107">
        <v>0</v>
      </c>
    </row>
    <row r="49" spans="1:8" x14ac:dyDescent="0.25">
      <c r="A49" s="98"/>
      <c r="B49" s="99"/>
      <c r="C49" s="100"/>
      <c r="D49" s="100"/>
      <c r="F49" s="111"/>
      <c r="G49" s="111" t="s">
        <v>129</v>
      </c>
      <c r="H49" s="112">
        <v>0</v>
      </c>
    </row>
    <row r="50" spans="1:8" x14ac:dyDescent="0.25">
      <c r="A50" s="98"/>
      <c r="B50" s="99"/>
      <c r="C50" s="100"/>
      <c r="D50" s="100"/>
      <c r="F50" s="94"/>
      <c r="G50" s="94" t="s">
        <v>130</v>
      </c>
      <c r="H50" s="107">
        <v>0</v>
      </c>
    </row>
    <row r="51" spans="1:8" ht="15.75" thickBot="1" x14ac:dyDescent="0.3">
      <c r="A51" s="98"/>
      <c r="B51" s="99"/>
      <c r="C51" s="100"/>
      <c r="D51" s="100"/>
      <c r="F51" s="94"/>
      <c r="G51" s="95" t="s">
        <v>131</v>
      </c>
      <c r="H51" s="108">
        <v>0</v>
      </c>
    </row>
    <row r="52" spans="1:8" x14ac:dyDescent="0.25">
      <c r="A52" s="98"/>
      <c r="B52" s="99"/>
      <c r="C52" s="100"/>
      <c r="D52" s="100"/>
      <c r="F52" s="111"/>
      <c r="G52" s="111" t="s">
        <v>129</v>
      </c>
      <c r="H52" s="112">
        <v>0</v>
      </c>
    </row>
    <row r="53" spans="1:8" x14ac:dyDescent="0.25">
      <c r="A53" s="98"/>
      <c r="B53" s="99"/>
      <c r="C53" s="100"/>
      <c r="D53" s="100"/>
      <c r="F53" s="94"/>
      <c r="G53" s="94" t="s">
        <v>130</v>
      </c>
      <c r="H53" s="107">
        <v>0</v>
      </c>
    </row>
    <row r="54" spans="1:8" ht="15.75" thickBot="1" x14ac:dyDescent="0.3">
      <c r="A54" s="98"/>
      <c r="B54" s="99"/>
      <c r="C54" s="100"/>
      <c r="D54" s="100"/>
      <c r="F54" s="94"/>
      <c r="G54" s="95" t="s">
        <v>131</v>
      </c>
      <c r="H54" s="108">
        <v>0</v>
      </c>
    </row>
    <row r="55" spans="1:8" x14ac:dyDescent="0.25">
      <c r="A55" s="98"/>
      <c r="B55" s="99"/>
      <c r="C55" s="100"/>
      <c r="D55" s="100"/>
      <c r="F55" s="111"/>
      <c r="G55" s="111" t="s">
        <v>129</v>
      </c>
      <c r="H55" s="112">
        <v>0</v>
      </c>
    </row>
    <row r="56" spans="1:8" x14ac:dyDescent="0.25">
      <c r="A56" s="98"/>
      <c r="B56" s="99"/>
      <c r="C56" s="100"/>
      <c r="D56" s="100"/>
      <c r="F56" s="94"/>
      <c r="G56" s="94" t="s">
        <v>130</v>
      </c>
      <c r="H56" s="107">
        <v>0</v>
      </c>
    </row>
    <row r="57" spans="1:8" ht="15.75" thickBot="1" x14ac:dyDescent="0.3">
      <c r="A57" s="98"/>
      <c r="B57" s="99"/>
      <c r="C57" s="100"/>
      <c r="D57" s="100"/>
      <c r="F57" s="94"/>
      <c r="G57" s="95" t="s">
        <v>131</v>
      </c>
      <c r="H57" s="108">
        <v>0</v>
      </c>
    </row>
  </sheetData>
  <mergeCells count="6">
    <mergeCell ref="A1:D1"/>
    <mergeCell ref="A18:D18"/>
    <mergeCell ref="A17:B17"/>
    <mergeCell ref="F29:G29"/>
    <mergeCell ref="F18:H18"/>
    <mergeCell ref="F15:H15"/>
  </mergeCells>
  <phoneticPr fontId="24" type="noConversion"/>
  <dataValidations count="1">
    <dataValidation type="date" operator="greaterThanOrEqual" allowBlank="1" showInputMessage="1" showErrorMessage="1" sqref="H16" xr:uid="{B166BF25-FCB2-4BE1-A8CA-9D35D3C93F3A}">
      <formula1>46251</formula1>
    </dataValidation>
  </dataValidations>
  <pageMargins left="0.7" right="0.7" top="1.5" bottom="0.75" header="0.55000000000000004" footer="0.3"/>
  <pageSetup scale="59" fitToHeight="0" orientation="landscape" horizontalDpi="1200" verticalDpi="1200" r:id="rId1"/>
  <headerFooter>
    <oddHeader>&amp;L&amp;G&amp;C&amp;A&amp;RRFP 2026-010
Digital Evidence and Situational Awareness Technologies</oddHeader>
  </headerFooter>
  <drawing r:id="rId2"/>
  <legacyDrawingHF r:id="rId3"/>
  <tableParts count="5">
    <tablePart r:id="rId4"/>
    <tablePart r:id="rId5"/>
    <tablePart r:id="rId6"/>
    <tablePart r:id="rId7"/>
    <tablePart r:id="rId8"/>
  </tableParts>
  <extLst>
    <ext xmlns:x14="http://schemas.microsoft.com/office/spreadsheetml/2009/9/main" uri="{CCE6A557-97BC-4b89-ADB6-D9C93CAAB3DF}">
      <x14:dataValidations xmlns:xm="http://schemas.microsoft.com/office/excel/2006/main" count="1">
        <x14:dataValidation type="list" allowBlank="1" showInputMessage="1" showErrorMessage="1" xr:uid="{71C1191A-AF46-4AE5-A3ED-CF15EDB6633D}">
          <x14:formula1>
            <xm:f>Sheet1!$A$1:$A$6</xm:f>
          </x14:formula1>
          <xm:sqref>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0281D-5B34-4276-A3CF-FA2D62CE8008}">
  <sheetPr>
    <tabColor theme="8" tint="-0.249977111117893"/>
    <pageSetUpPr fitToPage="1"/>
  </sheetPr>
  <dimension ref="A1:N26"/>
  <sheetViews>
    <sheetView zoomScaleNormal="100" workbookViewId="0">
      <selection activeCell="A22" sqref="A22"/>
    </sheetView>
  </sheetViews>
  <sheetFormatPr defaultRowHeight="15" x14ac:dyDescent="0.25"/>
  <cols>
    <col min="1" max="1" width="27.7109375" customWidth="1"/>
    <col min="2" max="2" width="24.5703125" customWidth="1"/>
    <col min="3" max="3" width="12.42578125" style="24" customWidth="1"/>
    <col min="4" max="4" width="24.7109375" customWidth="1"/>
    <col min="5" max="5" width="10.85546875" style="24" bestFit="1" customWidth="1"/>
    <col min="6" max="6" width="20.7109375" customWidth="1"/>
    <col min="7" max="7" width="23" customWidth="1"/>
    <col min="8" max="8" width="14.140625" bestFit="1" customWidth="1"/>
    <col min="9" max="13" width="14.28515625" customWidth="1"/>
    <col min="14" max="14" width="10.140625" bestFit="1" customWidth="1"/>
  </cols>
  <sheetData>
    <row r="1" spans="1:14" x14ac:dyDescent="0.25">
      <c r="A1" t="s">
        <v>10</v>
      </c>
    </row>
    <row r="2" spans="1:14" x14ac:dyDescent="0.25">
      <c r="C2"/>
      <c r="E2"/>
    </row>
    <row r="3" spans="1:14" s="13" customFormat="1" ht="45.75" thickBot="1" x14ac:dyDescent="0.3">
      <c r="A3" s="22" t="s">
        <v>11</v>
      </c>
      <c r="B3" s="11" t="s">
        <v>68</v>
      </c>
      <c r="C3" s="23" t="s">
        <v>13</v>
      </c>
      <c r="D3" s="23" t="s">
        <v>125</v>
      </c>
      <c r="E3" s="11" t="s">
        <v>14</v>
      </c>
      <c r="F3" s="23" t="s">
        <v>29</v>
      </c>
      <c r="G3" s="11" t="s">
        <v>15</v>
      </c>
      <c r="H3" s="11" t="s">
        <v>16</v>
      </c>
      <c r="I3" s="11" t="s">
        <v>17</v>
      </c>
      <c r="J3" s="11" t="s">
        <v>24</v>
      </c>
      <c r="K3" s="11" t="s">
        <v>25</v>
      </c>
      <c r="L3" s="11" t="s">
        <v>26</v>
      </c>
      <c r="M3" s="11" t="s">
        <v>27</v>
      </c>
      <c r="N3" s="12" t="s">
        <v>18</v>
      </c>
    </row>
    <row r="4" spans="1:14" ht="15.75" thickBot="1" x14ac:dyDescent="0.3">
      <c r="A4" s="17" t="s">
        <v>19</v>
      </c>
      <c r="B4" s="14" t="s">
        <v>20</v>
      </c>
      <c r="C4" s="26" t="s">
        <v>2</v>
      </c>
      <c r="D4" s="26" t="str">
        <f>_xlfn.XLOOKUP(Table2[[#This Row],[Category Ref]],Table1[Category ID],Table1[Functional
Sub-Category], "oops")</f>
        <v>Primary Hardware</v>
      </c>
      <c r="E4" s="15">
        <v>800</v>
      </c>
      <c r="F4" s="25" t="s">
        <v>64</v>
      </c>
      <c r="G4" s="15">
        <f>Table2[[#This Row],[MSRP]] * (1 - (VLOOKUP(Table2[[#This Row],[Category Ref]], Table1[], 3, FALSE) / 100))</f>
        <v>640</v>
      </c>
      <c r="H4" s="14">
        <v>50</v>
      </c>
      <c r="I4" s="16">
        <f>Table2[[#This Row],[Qty]]*Table2[[#This Row],[Contract Price (MSRP - Disc%)]]</f>
        <v>32000</v>
      </c>
      <c r="J4" s="16">
        <f>Table2[[#This Row],[Year 1 Cost]]*1.03</f>
        <v>32960</v>
      </c>
      <c r="K4" s="16">
        <f>Table2[[#This Row],[Year 2 Cost]]*1.03</f>
        <v>33948.800000000003</v>
      </c>
      <c r="L4" s="16">
        <f>Table2[[#This Row],[Year 3 Cost]]*1.03</f>
        <v>34967.264000000003</v>
      </c>
      <c r="M4" s="16">
        <f>Table2[[#This Row],[Year 4 Cost]]*1.03</f>
        <v>36016.281920000001</v>
      </c>
      <c r="N4" s="18">
        <f>SUM(Table2[[#This Row],[Year 1 Cost]:[Year 5 Cost]])</f>
        <v>169892.34592000002</v>
      </c>
    </row>
    <row r="5" spans="1:14" ht="15.75" thickBot="1" x14ac:dyDescent="0.3">
      <c r="A5" s="17" t="s">
        <v>28</v>
      </c>
      <c r="B5" s="14" t="s">
        <v>48</v>
      </c>
      <c r="C5" s="26" t="s">
        <v>4</v>
      </c>
      <c r="D5" s="26" t="str">
        <f>_xlfn.XLOOKUP(Table2[[#This Row],[Category Ref]],Table1[Category ID],Table1[Functional
Sub-Category], "oops")</f>
        <v>Parts &amp; Accessores</v>
      </c>
      <c r="E5" s="15">
        <v>180</v>
      </c>
      <c r="F5" s="25" t="s">
        <v>31</v>
      </c>
      <c r="G5" s="15">
        <f>Table2[[#This Row],[MSRP]] * (1 - (VLOOKUP(Table2[[#This Row],[Category Ref]], Table1[], 3, FALSE) / 100))</f>
        <v>144</v>
      </c>
      <c r="H5" s="14">
        <v>140</v>
      </c>
      <c r="I5" s="16">
        <f>Table2[[#This Row],[Qty]]*Table2[[#This Row],[Contract Price (MSRP - Disc%)]]</f>
        <v>20160</v>
      </c>
      <c r="J5" s="16">
        <v>0</v>
      </c>
      <c r="K5" s="16">
        <v>0</v>
      </c>
      <c r="L5" s="16">
        <v>0</v>
      </c>
      <c r="M5" s="16">
        <v>0</v>
      </c>
      <c r="N5" s="18">
        <f>SUM(Table2[[#This Row],[Year 1 Cost]:[Year 5 Cost]])</f>
        <v>20160</v>
      </c>
    </row>
    <row r="6" spans="1:14" ht="29.25" thickBot="1" x14ac:dyDescent="0.3">
      <c r="A6" s="34" t="s">
        <v>72</v>
      </c>
      <c r="B6" s="28" t="s">
        <v>74</v>
      </c>
      <c r="C6" s="29" t="s">
        <v>112</v>
      </c>
      <c r="D6" s="26" t="str">
        <f>_xlfn.XLOOKUP(Table2[[#This Row],[Category Ref]],Table1[Category ID],Table1[Functional
Sub-Category], "oops")</f>
        <v>OnSite Support Services</v>
      </c>
      <c r="E6" s="30">
        <v>800</v>
      </c>
      <c r="F6" s="40" t="s">
        <v>73</v>
      </c>
      <c r="G6" s="15">
        <f>Table2[[#This Row],[MSRP]] * (1 - (VLOOKUP(Table2[[#This Row],[Category Ref]], Table1[], 3, FALSE) / 100))</f>
        <v>784</v>
      </c>
      <c r="H6" s="28">
        <v>20</v>
      </c>
      <c r="I6" s="16"/>
      <c r="J6" s="16"/>
      <c r="K6" s="16"/>
      <c r="L6" s="16">
        <f>Table2[[#This Row],[Contract Price (MSRP - Disc%)]]*Table2[[#This Row],[Qty]]</f>
        <v>15680</v>
      </c>
      <c r="M6" s="16">
        <f>(Table2[[#This Row],[Contract Price (MSRP - Disc%)]]*Table2[[#This Row],[Qty]])*1.03</f>
        <v>16150.4</v>
      </c>
      <c r="N6" s="18">
        <f>SUM(Table2[[#This Row],[Year 1 Cost]:[Year 5 Cost]])</f>
        <v>31830.400000000001</v>
      </c>
    </row>
    <row r="7" spans="1:14" ht="15.75" thickBot="1" x14ac:dyDescent="0.3">
      <c r="A7" s="34" t="s">
        <v>21</v>
      </c>
      <c r="B7" s="28" t="s">
        <v>22</v>
      </c>
      <c r="C7" s="29" t="s">
        <v>113</v>
      </c>
      <c r="D7" s="26" t="str">
        <f>_xlfn.XLOOKUP(Table2[[#This Row],[Category Ref]],Table1[Category ID],Table1[Functional
Sub-Category], "oops")</f>
        <v>XYZ 24/7 Support</v>
      </c>
      <c r="E7" s="28">
        <v>100</v>
      </c>
      <c r="F7" s="29" t="s">
        <v>30</v>
      </c>
      <c r="G7" s="30">
        <f>Table2[[#This Row],[MSRP]] * (1 - (VLOOKUP(Table2[[#This Row],[Category Ref]], Table1[], 3, FALSE) / 100))</f>
        <v>85</v>
      </c>
      <c r="H7" s="28">
        <v>20</v>
      </c>
      <c r="I7" s="16">
        <f>12*Table2[[#This Row],[Contract Price (MSRP - Disc%)]]</f>
        <v>1020</v>
      </c>
      <c r="J7" s="16">
        <f>12*Table2[[#This Row],[Contract Price (MSRP - Disc%)]]+Table2[[#This Row],[Year 1 Cost]]</f>
        <v>2040</v>
      </c>
      <c r="K7" s="16">
        <f>12*Table2[[#This Row],[Contract Price (MSRP - Disc%)]]+Table2[[#This Row],[Year 2 Cost]]</f>
        <v>3060</v>
      </c>
      <c r="L7" s="16">
        <f>12*Table2[[#This Row],[Contract Price (MSRP - Disc%)]]+Table2[[#This Row],[Year 3 Cost]]</f>
        <v>4080</v>
      </c>
      <c r="M7" s="16">
        <f>12*Table2[[#This Row],[Contract Price (MSRP - Disc%)]]+Table2[[#This Row],[Year 4 Cost]]</f>
        <v>5100</v>
      </c>
      <c r="N7" s="18">
        <f>SUM(Table2[[#This Row],[Year 1 Cost]:[Year 5 Cost]])</f>
        <v>15300</v>
      </c>
    </row>
    <row r="8" spans="1:14" ht="15.75" thickBot="1" x14ac:dyDescent="0.3">
      <c r="A8" s="35" t="s">
        <v>23</v>
      </c>
      <c r="B8" s="31"/>
      <c r="C8" s="32"/>
      <c r="D8" s="32"/>
      <c r="E8" s="31"/>
      <c r="F8" s="32"/>
      <c r="G8" s="31"/>
      <c r="H8" s="33"/>
      <c r="I8" s="27">
        <f>SUBTOTAL(109,I4:I7)</f>
        <v>53180</v>
      </c>
      <c r="J8" s="20">
        <f>SUBTOTAL(109,J4:J7)</f>
        <v>35000</v>
      </c>
      <c r="K8" s="20">
        <f>SUM(K4:K7)</f>
        <v>37008.800000000003</v>
      </c>
      <c r="L8" s="20">
        <f>SUM(L4:L7)</f>
        <v>54727.264000000003</v>
      </c>
      <c r="M8" s="20">
        <f>SUBTOTAL(109,M4:M7)</f>
        <v>57266.681920000003</v>
      </c>
      <c r="N8" s="21">
        <f>SUBTOTAL(109,N4:N7)</f>
        <v>237182.74592000002</v>
      </c>
    </row>
    <row r="9" spans="1:14" x14ac:dyDescent="0.25">
      <c r="A9" t="s">
        <v>75</v>
      </c>
      <c r="D9" s="24"/>
      <c r="E9"/>
      <c r="F9" s="24"/>
      <c r="J9" s="41"/>
      <c r="K9" s="41"/>
      <c r="L9" s="41"/>
      <c r="N9" s="21"/>
    </row>
    <row r="11" spans="1:14" ht="15.75" x14ac:dyDescent="0.25">
      <c r="A11" s="58" t="s">
        <v>83</v>
      </c>
      <c r="B11" s="59"/>
      <c r="C11" s="60"/>
      <c r="D11" s="59"/>
      <c r="E11" s="60"/>
      <c r="F11" s="59"/>
      <c r="G11" s="59"/>
      <c r="H11" s="59"/>
      <c r="I11" s="59"/>
      <c r="J11" s="59"/>
      <c r="K11" s="59"/>
      <c r="L11" s="59"/>
      <c r="M11" s="59"/>
      <c r="N11" s="59"/>
    </row>
    <row r="12" spans="1:14" ht="15.75" x14ac:dyDescent="0.25">
      <c r="A12" s="61" t="s">
        <v>84</v>
      </c>
      <c r="B12" s="59"/>
      <c r="C12" s="60"/>
      <c r="D12" s="59"/>
      <c r="E12" s="60"/>
      <c r="F12" s="59"/>
      <c r="G12" s="59"/>
      <c r="H12" s="59"/>
      <c r="I12" s="59"/>
      <c r="J12" s="59"/>
      <c r="K12" s="59"/>
      <c r="L12" s="59"/>
      <c r="M12" s="59"/>
      <c r="N12" s="59"/>
    </row>
    <row r="13" spans="1:14" ht="15.75" x14ac:dyDescent="0.25">
      <c r="A13" s="62" t="s">
        <v>85</v>
      </c>
      <c r="B13" s="59"/>
      <c r="C13" s="60"/>
      <c r="D13" s="59"/>
      <c r="E13" s="60"/>
      <c r="F13" s="59"/>
      <c r="G13" s="59"/>
      <c r="H13" s="59"/>
      <c r="I13" s="59"/>
      <c r="J13" s="59"/>
      <c r="K13" s="59"/>
      <c r="L13" s="59"/>
      <c r="M13" s="59"/>
      <c r="N13" s="59"/>
    </row>
    <row r="14" spans="1:14" ht="15.75" x14ac:dyDescent="0.25">
      <c r="A14" s="62" t="s">
        <v>86</v>
      </c>
      <c r="B14" s="59"/>
      <c r="C14" s="60"/>
      <c r="D14" s="59"/>
      <c r="E14" s="60"/>
      <c r="F14" s="59"/>
      <c r="G14" s="59"/>
      <c r="H14" s="59"/>
      <c r="I14" s="59"/>
      <c r="J14" s="59"/>
      <c r="K14" s="59"/>
      <c r="L14" s="59"/>
      <c r="M14" s="59"/>
      <c r="N14" s="59"/>
    </row>
    <row r="15" spans="1:14" ht="15.75" x14ac:dyDescent="0.25">
      <c r="A15" s="62" t="s">
        <v>87</v>
      </c>
      <c r="B15" s="59"/>
      <c r="C15" s="60"/>
      <c r="D15" s="59"/>
      <c r="E15" s="60"/>
      <c r="F15" s="59"/>
      <c r="G15" s="59"/>
      <c r="H15" s="59"/>
      <c r="I15" s="59"/>
      <c r="J15" s="59"/>
      <c r="K15" s="59"/>
      <c r="L15" s="59"/>
      <c r="M15" s="59"/>
      <c r="N15" s="59"/>
    </row>
    <row r="16" spans="1:14" ht="15.75" x14ac:dyDescent="0.25">
      <c r="A16" s="62" t="s">
        <v>88</v>
      </c>
      <c r="B16" s="59"/>
      <c r="C16" s="60"/>
      <c r="D16" s="59"/>
      <c r="E16" s="60"/>
      <c r="F16" s="59"/>
      <c r="G16" s="59"/>
      <c r="H16" s="59"/>
      <c r="I16" s="59"/>
      <c r="J16" s="59"/>
      <c r="K16" s="59"/>
      <c r="L16" s="59"/>
      <c r="M16" s="59"/>
      <c r="N16" s="59"/>
    </row>
    <row r="17" spans="1:14" ht="15.75" x14ac:dyDescent="0.25">
      <c r="A17" s="62" t="s">
        <v>144</v>
      </c>
      <c r="B17" s="59"/>
      <c r="C17" s="60"/>
      <c r="D17" s="59"/>
      <c r="E17" s="60"/>
      <c r="F17" s="59"/>
      <c r="G17" s="59"/>
      <c r="H17" s="59"/>
      <c r="I17" s="59"/>
      <c r="J17" s="59"/>
      <c r="K17" s="59"/>
      <c r="L17" s="59"/>
      <c r="M17" s="59"/>
      <c r="N17" s="59"/>
    </row>
    <row r="18" spans="1:14" x14ac:dyDescent="0.25">
      <c r="A18" s="59"/>
      <c r="B18" s="59"/>
      <c r="C18" s="59"/>
      <c r="D18" s="59"/>
      <c r="E18" s="60"/>
      <c r="F18" s="59"/>
      <c r="G18" s="60"/>
      <c r="H18" s="59"/>
      <c r="I18" s="59"/>
      <c r="J18" s="59"/>
      <c r="K18" s="59"/>
      <c r="L18" s="59"/>
      <c r="M18" s="59"/>
      <c r="N18" s="59"/>
    </row>
    <row r="19" spans="1:14" ht="27" thickBot="1" x14ac:dyDescent="0.45">
      <c r="A19" s="141" t="str">
        <f>'Discount Category Table'!C16</f>
        <v>[Enter Company Name Here]</v>
      </c>
      <c r="B19" s="141"/>
      <c r="C19" s="36" t="s">
        <v>65</v>
      </c>
      <c r="D19" s="81" t="s">
        <v>76</v>
      </c>
      <c r="E19" s="38"/>
      <c r="F19" s="37"/>
      <c r="G19" s="38"/>
      <c r="H19" s="124"/>
      <c r="I19" s="37"/>
      <c r="J19" s="37"/>
      <c r="K19" s="37"/>
      <c r="L19" s="37"/>
      <c r="M19" s="37"/>
      <c r="N19" s="37"/>
    </row>
    <row r="20" spans="1:14" ht="15.75" thickTop="1" x14ac:dyDescent="0.25">
      <c r="D20" s="80" t="str">
        <f>'Discount Category Table'!C17</f>
        <v>[Please select Category for THIS discount submission.]</v>
      </c>
    </row>
    <row r="21" spans="1:14" ht="45.75" thickBot="1" x14ac:dyDescent="0.3">
      <c r="A21" s="22" t="s">
        <v>11</v>
      </c>
      <c r="B21" s="11" t="s">
        <v>12</v>
      </c>
      <c r="C21" s="23" t="s">
        <v>13</v>
      </c>
      <c r="D21" s="23" t="s">
        <v>125</v>
      </c>
      <c r="E21" s="23" t="s">
        <v>142</v>
      </c>
      <c r="F21" s="23" t="s">
        <v>29</v>
      </c>
      <c r="G21" s="23" t="s">
        <v>143</v>
      </c>
      <c r="H21" s="11" t="s">
        <v>133</v>
      </c>
      <c r="I21" s="11" t="s">
        <v>17</v>
      </c>
      <c r="J21" s="11" t="s">
        <v>24</v>
      </c>
      <c r="K21" s="11" t="s">
        <v>25</v>
      </c>
      <c r="L21" s="11" t="s">
        <v>26</v>
      </c>
      <c r="M21" s="11" t="s">
        <v>27</v>
      </c>
      <c r="N21" s="12" t="s">
        <v>18</v>
      </c>
    </row>
    <row r="22" spans="1:14" ht="15.75" thickBot="1" x14ac:dyDescent="0.3">
      <c r="A22" s="17"/>
      <c r="B22" s="14"/>
      <c r="C22" s="26"/>
      <c r="D22" s="26" t="str" cm="1">
        <f t="array" ref="D22">IF(Table28[[#This Row],[Category Ref]]="", "",IFERROR(_xlfn.XLOOKUP(Table28[[#This Row],[Category Ref]],CatTable[[#All],[Category ID]],CatTable[[#All],[Functional
Sub-Category]]), "oops"))</f>
        <v/>
      </c>
      <c r="E22" s="15"/>
      <c r="F22" s="25"/>
      <c r="G22" s="15" t="str">
        <f>IF(OR(Table28[[#This Row],[Base Rate]]="", Table28[[#This Row],[Category Ref]]=""), "", IFERROR(Table28[[#This Row],[Base Rate]] * (1 - (_xlfn.XLOOKUP(Table28[[#This Row],[Category Ref]], CatTable[Category ID], CatTable[Minimum % Discount off MSRP
or Discount]) / 100)), ""))</f>
        <v/>
      </c>
      <c r="H22" s="14"/>
      <c r="I22" s="16" t="str">
        <f>IFERROR(Table28[[#This Row],[Total Qty]]*Table28[[#This Row],[Contract Price
(Base Rate - Disc %)]],"")</f>
        <v/>
      </c>
      <c r="J22" s="16"/>
      <c r="K22" s="16"/>
      <c r="L22" s="16"/>
      <c r="M22" s="16"/>
      <c r="N22" s="18">
        <f>SUM(Table28[[#This Row],[Year 1 Cost]:[Year 5 Cost]])</f>
        <v>0</v>
      </c>
    </row>
    <row r="23" spans="1:14" ht="15.75" thickBot="1" x14ac:dyDescent="0.3">
      <c r="A23" s="17"/>
      <c r="B23" s="14"/>
      <c r="C23" s="26"/>
      <c r="D23" s="26" t="str" cm="1">
        <f t="array" ref="D23">IF(Table28[[#This Row],[Category Ref]]="", "",IFERROR(_xlfn.XLOOKUP(Table28[[#This Row],[Category Ref]],CatTable[[#All],[Category ID]],CatTable[[#All],[Functional
Sub-Category]]), "oops"))</f>
        <v/>
      </c>
      <c r="E23" s="15"/>
      <c r="F23" s="25"/>
      <c r="G23" s="15" t="str">
        <f>IF(OR(Table28[[#This Row],[Base Rate]]="", Table28[[#This Row],[Category Ref]]=""), "", IFERROR(Table28[[#This Row],[Base Rate]] * (1 - (_xlfn.XLOOKUP(Table28[[#This Row],[Category Ref]], CatTable[Category ID], CatTable[Minimum % Discount off MSRP
or Discount]) / 100)), ""))</f>
        <v/>
      </c>
      <c r="H23" s="14"/>
      <c r="I23" s="16" t="str">
        <f>IFERROR(Table28[[#This Row],[Total Qty]]*Table28[[#This Row],[Contract Price
(Base Rate - Disc %)]],"")</f>
        <v/>
      </c>
      <c r="J23" s="16"/>
      <c r="K23" s="16"/>
      <c r="L23" s="16"/>
      <c r="M23" s="16"/>
      <c r="N23" s="18">
        <f>SUM(Table28[[#This Row],[Year 1 Cost]:[Year 5 Cost]])</f>
        <v>0</v>
      </c>
    </row>
    <row r="24" spans="1:14" ht="15.75" thickBot="1" x14ac:dyDescent="0.3">
      <c r="A24" s="17"/>
      <c r="B24" s="14"/>
      <c r="C24" s="26"/>
      <c r="D24" s="26" t="str" cm="1">
        <f t="array" ref="D24">IF(Table28[[#This Row],[Category Ref]]="", "",IFERROR(_xlfn.XLOOKUP(Table28[[#This Row],[Category Ref]],CatTable[[#All],[Category ID]],CatTable[[#All],[Functional
Sub-Category]]), "oops"))</f>
        <v/>
      </c>
      <c r="E24" s="14"/>
      <c r="F24" s="26"/>
      <c r="G24" s="15" t="str">
        <f>IF(OR(Table28[[#This Row],[Base Rate]]="", Table28[[#This Row],[Category Ref]]=""), "", IFERROR(Table28[[#This Row],[Base Rate]] * (1 - (_xlfn.XLOOKUP(Table28[[#This Row],[Category Ref]], CatTable[Category ID], CatTable[Minimum % Discount off MSRP
or Discount]) / 100)), ""))</f>
        <v/>
      </c>
      <c r="H24" s="14"/>
      <c r="I24" s="16" t="str">
        <f>IFERROR(Table28[[#This Row],[Total Qty]]*Table28[[#This Row],[Contract Price
(Base Rate - Disc %)]],"")</f>
        <v/>
      </c>
      <c r="J24" s="16"/>
      <c r="K24" s="16"/>
      <c r="L24" s="16"/>
      <c r="M24" s="16"/>
      <c r="N24" s="18">
        <f>SUM(Table28[[#This Row],[Year 1 Cost]:[Year 5 Cost]])</f>
        <v>0</v>
      </c>
    </row>
    <row r="25" spans="1:14" ht="15.75" thickBot="1" x14ac:dyDescent="0.3">
      <c r="A25" s="43"/>
      <c r="B25" s="19"/>
      <c r="C25" s="5"/>
      <c r="D25" s="26" t="str" cm="1">
        <f t="array" ref="D25">IF(Table28[[#This Row],[Category Ref]]="", "",IFERROR(_xlfn.XLOOKUP(Table28[[#This Row],[Category Ref]],CatTable[[#All],[Category ID]],CatTable[[#All],[Functional
Sub-Category]]), "oops"))</f>
        <v/>
      </c>
      <c r="E25" s="19"/>
      <c r="F25" s="5"/>
      <c r="G25" s="15" t="str">
        <f>IF(OR(Table28[[#This Row],[Base Rate]]="", Table28[[#This Row],[Category Ref]]=""), "", IFERROR(Table28[[#This Row],[Base Rate]] * (1 - (_xlfn.XLOOKUP(Table28[[#This Row],[Category Ref]], CatTable[Category ID], CatTable[Minimum % Discount off MSRP
or Discount]) / 100)), ""))</f>
        <v/>
      </c>
      <c r="H25" s="19"/>
      <c r="I25" s="16" t="str">
        <f>IFERROR(Table28[[#This Row],[Total Qty]]*Table28[[#This Row],[Contract Price
(Base Rate - Disc %)]],"")</f>
        <v/>
      </c>
      <c r="J25" s="41"/>
      <c r="K25" s="41"/>
      <c r="L25" s="41"/>
      <c r="M25" s="41"/>
      <c r="N25" s="18">
        <f>SUM(Table28[[#This Row],[Year 1 Cost]:[Year 5 Cost]])</f>
        <v>0</v>
      </c>
    </row>
    <row r="26" spans="1:14" ht="15.75" thickBot="1" x14ac:dyDescent="0.3">
      <c r="A26" s="35" t="s">
        <v>23</v>
      </c>
      <c r="B26" s="31"/>
      <c r="C26" s="32"/>
      <c r="D26" s="32"/>
      <c r="E26" s="31"/>
      <c r="F26" s="32"/>
      <c r="G26" s="31"/>
      <c r="H26" s="33"/>
      <c r="I26" s="16">
        <f>SUM(I22:I25)</f>
        <v>0</v>
      </c>
      <c r="J26" s="16">
        <f t="shared" ref="J26:M26" si="0">SUM(J22:J25)</f>
        <v>0</v>
      </c>
      <c r="K26" s="16">
        <f t="shared" si="0"/>
        <v>0</v>
      </c>
      <c r="L26" s="16">
        <f t="shared" si="0"/>
        <v>0</v>
      </c>
      <c r="M26" s="16">
        <f t="shared" si="0"/>
        <v>0</v>
      </c>
      <c r="N26" s="18">
        <f>SUM(Table28[[#This Row],[Year 1 Cost]:[Year 5 Cost]])</f>
        <v>0</v>
      </c>
    </row>
  </sheetData>
  <mergeCells count="1">
    <mergeCell ref="A19:B19"/>
  </mergeCells>
  <pageMargins left="0.7" right="0.7" top="1.5" bottom="0.75" header="0.55000000000000004" footer="0.3"/>
  <pageSetup scale="52" fitToHeight="0" orientation="landscape" horizontalDpi="1200" verticalDpi="1200" r:id="rId1"/>
  <headerFooter>
    <oddHeader>&amp;L&amp;G&amp;C&amp;A&amp;RRFP 2026-010
Digital Evidence and Situational Awareness Technologies</oddHeader>
  </headerFooter>
  <ignoredErrors>
    <ignoredError sqref="I26" calculatedColumn="1"/>
  </ignoredErrors>
  <drawing r:id="rId2"/>
  <legacyDrawingHF r:id="rId3"/>
  <tableParts count="2">
    <tablePart r:id="rId4"/>
    <tablePart r:id="rId5"/>
  </tableParts>
  <extLst>
    <ext xmlns:x14="http://schemas.microsoft.com/office/spreadsheetml/2009/9/main" uri="{CCE6A557-97BC-4b89-ADB6-D9C93CAAB3DF}">
      <x14:dataValidations xmlns:xm="http://schemas.microsoft.com/office/excel/2006/main" count="3">
        <x14:dataValidation type="list" allowBlank="1" showInputMessage="1" showErrorMessage="1" xr:uid="{1B6C902A-BCEE-4838-8522-68FE3CF23D60}">
          <x14:formula1>
            <xm:f>'Discount Category Table'!$A$3:$A$14</xm:f>
          </x14:formula1>
          <xm:sqref>C4:C7</xm:sqref>
        </x14:dataValidation>
        <x14:dataValidation type="list" allowBlank="1" showInputMessage="1" showErrorMessage="1" xr:uid="{3F1D17BD-F9D2-4B3E-A9C4-849BF8B9010C}">
          <x14:formula1>
            <xm:f>Sheet1!$L$1:$L$6</xm:f>
          </x14:formula1>
          <xm:sqref>I19</xm:sqref>
        </x14:dataValidation>
        <x14:dataValidation type="list" allowBlank="1" showInputMessage="1" showErrorMessage="1" xr:uid="{3F833246-8FB4-4A3E-BF96-5BC2AF891AF7}">
          <x14:formula1>
            <xm:f>'Discount Category Table'!$A$19:$A$1048576</xm:f>
          </x14:formula1>
          <xm:sqref>C22:C1048576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CA114-C5E8-4F86-8E79-59DC91A705A1}">
  <sheetPr>
    <tabColor theme="8" tint="-0.249977111117893"/>
    <pageSetUpPr fitToPage="1"/>
  </sheetPr>
  <dimension ref="A1:N26"/>
  <sheetViews>
    <sheetView zoomScaleNormal="100" workbookViewId="0">
      <selection activeCell="A22" sqref="A22"/>
    </sheetView>
  </sheetViews>
  <sheetFormatPr defaultRowHeight="15" x14ac:dyDescent="0.25"/>
  <cols>
    <col min="1" max="1" width="27.7109375" customWidth="1"/>
    <col min="2" max="2" width="24.5703125" customWidth="1"/>
    <col min="3" max="3" width="12.42578125" style="24" customWidth="1"/>
    <col min="4" max="4" width="24.7109375" customWidth="1"/>
    <col min="5" max="5" width="10.85546875" style="24" bestFit="1" customWidth="1"/>
    <col min="6" max="6" width="20.7109375" customWidth="1"/>
    <col min="7" max="7" width="24.42578125" customWidth="1"/>
    <col min="8" max="8" width="14.140625" bestFit="1" customWidth="1"/>
    <col min="9" max="13" width="14.28515625" customWidth="1"/>
    <col min="14" max="14" width="10.140625" bestFit="1" customWidth="1"/>
  </cols>
  <sheetData>
    <row r="1" spans="1:14" x14ac:dyDescent="0.25">
      <c r="A1" t="s">
        <v>10</v>
      </c>
    </row>
    <row r="2" spans="1:14" x14ac:dyDescent="0.25">
      <c r="C2"/>
      <c r="E2"/>
    </row>
    <row r="3" spans="1:14" s="13" customFormat="1" ht="45.75" thickBot="1" x14ac:dyDescent="0.3">
      <c r="A3" s="22" t="s">
        <v>11</v>
      </c>
      <c r="B3" s="11" t="s">
        <v>68</v>
      </c>
      <c r="C3" s="23" t="s">
        <v>13</v>
      </c>
      <c r="D3" s="23" t="s">
        <v>125</v>
      </c>
      <c r="E3" s="11" t="s">
        <v>14</v>
      </c>
      <c r="F3" s="23" t="s">
        <v>29</v>
      </c>
      <c r="G3" s="11" t="s">
        <v>15</v>
      </c>
      <c r="H3" s="11" t="s">
        <v>16</v>
      </c>
      <c r="I3" s="11" t="s">
        <v>17</v>
      </c>
      <c r="J3" s="11" t="s">
        <v>24</v>
      </c>
      <c r="K3" s="11" t="s">
        <v>25</v>
      </c>
      <c r="L3" s="11" t="s">
        <v>26</v>
      </c>
      <c r="M3" s="11" t="s">
        <v>27</v>
      </c>
      <c r="N3" s="12" t="s">
        <v>18</v>
      </c>
    </row>
    <row r="4" spans="1:14" ht="15.75" thickBot="1" x14ac:dyDescent="0.3">
      <c r="A4" s="17" t="s">
        <v>19</v>
      </c>
      <c r="B4" s="14" t="s">
        <v>20</v>
      </c>
      <c r="C4" s="26" t="s">
        <v>2</v>
      </c>
      <c r="D4" s="26" t="str">
        <f>_xlfn.XLOOKUP(Table2182628[[#This Row],[Category Ref]],Table1[Category ID],Table1[Functional
Sub-Category], "oops")</f>
        <v>Primary Hardware</v>
      </c>
      <c r="E4" s="15">
        <v>800</v>
      </c>
      <c r="F4" s="25" t="s">
        <v>64</v>
      </c>
      <c r="G4" s="15">
        <f>Table2182628[[#This Row],[MSRP]] * (1 - (VLOOKUP(Table2182628[[#This Row],[Category Ref]], Table1[], 3, FALSE) / 100))</f>
        <v>640</v>
      </c>
      <c r="H4" s="14">
        <v>20</v>
      </c>
      <c r="I4" s="16">
        <f>Table2182628[[#This Row],[Qty]]*Table2182628[[#This Row],[Contract Price (MSRP - Disc%)]]</f>
        <v>12800</v>
      </c>
      <c r="J4" s="16">
        <f>Table2182628[[#This Row],[Year 1 Cost]]*1.03</f>
        <v>13184</v>
      </c>
      <c r="K4" s="16">
        <f>Table2182628[[#This Row],[Year 2 Cost]]*1.03</f>
        <v>13579.52</v>
      </c>
      <c r="L4" s="16">
        <f>Table2182628[[#This Row],[Year 3 Cost]]*1.03</f>
        <v>13986.9056</v>
      </c>
      <c r="M4" s="16">
        <f>Table2182628[[#This Row],[Year 4 Cost]]*1.03</f>
        <v>14406.512768000001</v>
      </c>
      <c r="N4" s="18">
        <f>SUM(Table2182628[[#This Row],[Year 1 Cost]:[Year 5 Cost]])</f>
        <v>67956.938368000003</v>
      </c>
    </row>
    <row r="5" spans="1:14" ht="15.75" thickBot="1" x14ac:dyDescent="0.3">
      <c r="A5" s="17" t="s">
        <v>28</v>
      </c>
      <c r="B5" s="14" t="s">
        <v>48</v>
      </c>
      <c r="C5" s="26" t="s">
        <v>4</v>
      </c>
      <c r="D5" s="26" t="str">
        <f>_xlfn.XLOOKUP(Table2182628[[#This Row],[Category Ref]],Table1[Category ID],Table1[Functional
Sub-Category], "oops")</f>
        <v>Parts &amp; Accessores</v>
      </c>
      <c r="E5" s="15">
        <v>180</v>
      </c>
      <c r="F5" s="25" t="s">
        <v>31</v>
      </c>
      <c r="G5" s="15">
        <f>Table2182628[[#This Row],[MSRP]] * (1 - (VLOOKUP(Table2182628[[#This Row],[Category Ref]], Table1[], 3, FALSE) / 100))</f>
        <v>144</v>
      </c>
      <c r="H5" s="14">
        <v>140</v>
      </c>
      <c r="I5" s="16">
        <f>Table2182628[[#This Row],[Qty]]*Table2182628[[#This Row],[Contract Price (MSRP - Disc%)]]</f>
        <v>20160</v>
      </c>
      <c r="J5" s="16">
        <v>0</v>
      </c>
      <c r="K5" s="16">
        <v>0</v>
      </c>
      <c r="L5" s="16">
        <v>0</v>
      </c>
      <c r="M5" s="16">
        <v>0</v>
      </c>
      <c r="N5" s="18">
        <f>SUM(Table2182628[[#This Row],[Year 1 Cost]:[Year 5 Cost]])</f>
        <v>20160</v>
      </c>
    </row>
    <row r="6" spans="1:14" ht="29.25" thickBot="1" x14ac:dyDescent="0.3">
      <c r="A6" s="34" t="s">
        <v>72</v>
      </c>
      <c r="B6" s="28" t="s">
        <v>74</v>
      </c>
      <c r="C6" s="29" t="s">
        <v>112</v>
      </c>
      <c r="D6" s="26" t="str">
        <f>_xlfn.XLOOKUP(Table2182628[[#This Row],[Category Ref]],Table1[Category ID],Table1[Functional
Sub-Category], "oops")</f>
        <v>OnSite Support Services</v>
      </c>
      <c r="E6" s="30">
        <v>800</v>
      </c>
      <c r="F6" s="40" t="s">
        <v>73</v>
      </c>
      <c r="G6" s="15">
        <f>Table2182628[[#This Row],[MSRP]] * (1 - (VLOOKUP(Table2182628[[#This Row],[Category Ref]], Table1[], 3, FALSE) / 100))</f>
        <v>784</v>
      </c>
      <c r="H6" s="28">
        <v>20</v>
      </c>
      <c r="I6" s="16"/>
      <c r="J6" s="16"/>
      <c r="K6" s="16"/>
      <c r="L6" s="16">
        <f>Table2182628[[#This Row],[Contract Price (MSRP - Disc%)]]*Table2182628[[#This Row],[Qty]]</f>
        <v>15680</v>
      </c>
      <c r="M6" s="16">
        <f>(Table2182628[[#This Row],[Contract Price (MSRP - Disc%)]]*Table2182628[[#This Row],[Qty]])*1.03</f>
        <v>16150.4</v>
      </c>
      <c r="N6" s="18">
        <f>SUM(Table2182628[[#This Row],[Year 1 Cost]:[Year 5 Cost]])</f>
        <v>31830.400000000001</v>
      </c>
    </row>
    <row r="7" spans="1:14" ht="15.75" thickBot="1" x14ac:dyDescent="0.3">
      <c r="A7" s="34" t="s">
        <v>21</v>
      </c>
      <c r="B7" s="28" t="s">
        <v>22</v>
      </c>
      <c r="C7" s="29" t="s">
        <v>113</v>
      </c>
      <c r="D7" s="26" t="str">
        <f>_xlfn.XLOOKUP(Table2182628[[#This Row],[Category Ref]],Table1[Category ID],Table1[Functional
Sub-Category], "oops")</f>
        <v>XYZ 24/7 Support</v>
      </c>
      <c r="E7" s="28">
        <v>100</v>
      </c>
      <c r="F7" s="29" t="s">
        <v>30</v>
      </c>
      <c r="G7" s="30">
        <f>Table2182628[[#This Row],[MSRP]] * (1 - (VLOOKUP(Table2182628[[#This Row],[Category Ref]], Table1[], 3, FALSE) / 100))</f>
        <v>85</v>
      </c>
      <c r="H7" s="28">
        <v>20</v>
      </c>
      <c r="I7" s="16">
        <f>12*Table2182628[[#This Row],[Contract Price (MSRP - Disc%)]]</f>
        <v>1020</v>
      </c>
      <c r="J7" s="16">
        <f>12*Table2182628[[#This Row],[Contract Price (MSRP - Disc%)]]+Table2182628[[#This Row],[Year 1 Cost]]</f>
        <v>2040</v>
      </c>
      <c r="K7" s="16">
        <f>12*Table2182628[[#This Row],[Contract Price (MSRP - Disc%)]]+Table2182628[[#This Row],[Year 2 Cost]]</f>
        <v>3060</v>
      </c>
      <c r="L7" s="16">
        <f>12*Table2182628[[#This Row],[Contract Price (MSRP - Disc%)]]+Table2182628[[#This Row],[Year 3 Cost]]</f>
        <v>4080</v>
      </c>
      <c r="M7" s="16">
        <f>12*Table2182628[[#This Row],[Contract Price (MSRP - Disc%)]]+Table2182628[[#This Row],[Year 4 Cost]]</f>
        <v>5100</v>
      </c>
      <c r="N7" s="18">
        <f>SUM(Table2182628[[#This Row],[Year 1 Cost]:[Year 5 Cost]])</f>
        <v>15300</v>
      </c>
    </row>
    <row r="8" spans="1:14" ht="15.75" thickBot="1" x14ac:dyDescent="0.3">
      <c r="A8" s="35" t="s">
        <v>23</v>
      </c>
      <c r="B8" s="31"/>
      <c r="C8" s="32"/>
      <c r="D8" s="32"/>
      <c r="E8" s="31"/>
      <c r="F8" s="32"/>
      <c r="G8" s="31"/>
      <c r="H8" s="33"/>
      <c r="I8" s="27">
        <f>SUBTOTAL(109,I4:I7)</f>
        <v>33980</v>
      </c>
      <c r="J8" s="20">
        <f>SUBTOTAL(109,J4:J7)</f>
        <v>15224</v>
      </c>
      <c r="K8" s="20">
        <f>SUM(K4:K7)</f>
        <v>16639.52</v>
      </c>
      <c r="L8" s="20">
        <f>SUM(L4:L7)</f>
        <v>33746.905599999998</v>
      </c>
      <c r="M8" s="20">
        <f>SUBTOTAL(109,M4:M7)</f>
        <v>35656.912768000002</v>
      </c>
      <c r="N8" s="21">
        <f>SUBTOTAL(109,N4:N7)</f>
        <v>135247.338368</v>
      </c>
    </row>
    <row r="9" spans="1:14" x14ac:dyDescent="0.25">
      <c r="A9" t="s">
        <v>75</v>
      </c>
      <c r="D9" s="24"/>
      <c r="E9"/>
      <c r="F9" s="24"/>
      <c r="J9" s="41"/>
      <c r="K9" s="41"/>
      <c r="L9" s="41"/>
      <c r="N9" s="21"/>
    </row>
    <row r="11" spans="1:14" ht="15.75" x14ac:dyDescent="0.25">
      <c r="A11" s="58" t="s">
        <v>89</v>
      </c>
      <c r="B11" s="59"/>
      <c r="C11" s="60"/>
      <c r="D11" s="59"/>
      <c r="E11" s="60"/>
      <c r="F11" s="59"/>
      <c r="G11" s="59"/>
      <c r="H11" s="59"/>
      <c r="I11" s="59"/>
      <c r="J11" s="59"/>
      <c r="K11" s="59"/>
      <c r="L11" s="59"/>
      <c r="M11" s="59"/>
      <c r="N11" s="59"/>
    </row>
    <row r="12" spans="1:14" ht="15.75" x14ac:dyDescent="0.25">
      <c r="A12" s="61" t="s">
        <v>90</v>
      </c>
      <c r="B12" s="59"/>
      <c r="C12" s="60"/>
      <c r="D12" s="59"/>
      <c r="E12" s="60"/>
      <c r="F12" s="59"/>
      <c r="G12" s="59"/>
      <c r="H12" s="59"/>
      <c r="I12" s="59"/>
      <c r="J12" s="59"/>
      <c r="K12" s="59"/>
      <c r="L12" s="59"/>
      <c r="M12" s="59"/>
      <c r="N12" s="59"/>
    </row>
    <row r="13" spans="1:14" ht="15.75" x14ac:dyDescent="0.25">
      <c r="A13" s="62" t="s">
        <v>91</v>
      </c>
      <c r="B13" s="59"/>
      <c r="C13" s="60"/>
      <c r="D13" s="59"/>
      <c r="E13" s="60"/>
      <c r="F13" s="59"/>
      <c r="G13" s="59"/>
      <c r="H13" s="59"/>
      <c r="I13" s="59"/>
      <c r="J13" s="59"/>
      <c r="K13" s="59"/>
      <c r="L13" s="59"/>
      <c r="M13" s="59"/>
      <c r="N13" s="59"/>
    </row>
    <row r="14" spans="1:14" ht="15.75" x14ac:dyDescent="0.25">
      <c r="A14" s="62" t="s">
        <v>92</v>
      </c>
      <c r="B14" s="59"/>
      <c r="C14" s="60"/>
      <c r="D14" s="59"/>
      <c r="E14" s="60"/>
      <c r="F14" s="59"/>
      <c r="G14" s="59"/>
      <c r="H14" s="59"/>
      <c r="I14" s="59"/>
      <c r="J14" s="59"/>
      <c r="K14" s="59"/>
      <c r="L14" s="59"/>
      <c r="M14" s="59"/>
      <c r="N14" s="59"/>
    </row>
    <row r="15" spans="1:14" ht="15.75" x14ac:dyDescent="0.25">
      <c r="A15" s="62" t="s">
        <v>93</v>
      </c>
      <c r="B15" s="59"/>
      <c r="C15" s="60"/>
      <c r="D15" s="59"/>
      <c r="E15" s="60"/>
      <c r="F15" s="59"/>
      <c r="G15" s="59"/>
      <c r="H15" s="59"/>
      <c r="I15" s="59"/>
      <c r="J15" s="59"/>
      <c r="K15" s="59"/>
      <c r="L15" s="59"/>
      <c r="M15" s="59"/>
      <c r="N15" s="59"/>
    </row>
    <row r="16" spans="1:14" ht="15.75" x14ac:dyDescent="0.25">
      <c r="A16" s="62" t="s">
        <v>94</v>
      </c>
      <c r="B16" s="59"/>
      <c r="C16" s="60"/>
      <c r="D16" s="59"/>
      <c r="E16" s="60"/>
      <c r="F16" s="59"/>
      <c r="G16" s="59"/>
      <c r="H16" s="59"/>
      <c r="I16" s="59"/>
      <c r="J16" s="59"/>
      <c r="K16" s="59"/>
      <c r="L16" s="59"/>
      <c r="M16" s="59"/>
      <c r="N16" s="59"/>
    </row>
    <row r="17" spans="1:14" ht="15.75" x14ac:dyDescent="0.25">
      <c r="A17" s="62" t="s">
        <v>144</v>
      </c>
      <c r="B17" s="59"/>
      <c r="C17" s="59"/>
      <c r="D17" s="59"/>
      <c r="E17" s="60"/>
      <c r="F17" s="59"/>
      <c r="G17" s="60"/>
      <c r="H17" s="59"/>
      <c r="I17" s="59"/>
      <c r="J17" s="59"/>
      <c r="K17" s="59"/>
      <c r="L17" s="59"/>
      <c r="M17" s="59"/>
      <c r="N17" s="59"/>
    </row>
    <row r="18" spans="1:14" ht="15.75" x14ac:dyDescent="0.25">
      <c r="A18" s="62"/>
      <c r="B18" s="59"/>
      <c r="C18" s="59"/>
      <c r="D18" s="59"/>
      <c r="E18" s="60"/>
      <c r="F18" s="59"/>
      <c r="G18" s="60"/>
      <c r="H18" s="59"/>
      <c r="I18" s="59"/>
      <c r="J18" s="59"/>
      <c r="K18" s="59"/>
      <c r="L18" s="59"/>
      <c r="M18" s="59"/>
      <c r="N18" s="59"/>
    </row>
    <row r="19" spans="1:14" ht="27" thickBot="1" x14ac:dyDescent="0.45">
      <c r="A19" s="141" t="str">
        <f>'Discount Category Table'!C16</f>
        <v>[Enter Company Name Here]</v>
      </c>
      <c r="B19" s="141"/>
      <c r="C19" s="36" t="s">
        <v>65</v>
      </c>
      <c r="D19" s="81" t="s">
        <v>104</v>
      </c>
      <c r="E19" s="38"/>
      <c r="F19" s="37"/>
      <c r="G19" s="38"/>
      <c r="H19" s="124"/>
      <c r="I19" s="37"/>
      <c r="J19" s="37"/>
      <c r="K19" s="37"/>
      <c r="L19" s="37"/>
      <c r="M19" s="37"/>
      <c r="N19" s="37"/>
    </row>
    <row r="20" spans="1:14" ht="15.75" thickTop="1" x14ac:dyDescent="0.25">
      <c r="D20" s="80" t="str">
        <f>'Discount Category Table'!C17</f>
        <v>[Please select Category for THIS discount submission.]</v>
      </c>
    </row>
    <row r="21" spans="1:14" ht="45.75" thickBot="1" x14ac:dyDescent="0.3">
      <c r="A21" s="22" t="s">
        <v>11</v>
      </c>
      <c r="B21" s="11" t="s">
        <v>12</v>
      </c>
      <c r="C21" s="23" t="s">
        <v>13</v>
      </c>
      <c r="D21" s="23" t="s">
        <v>125</v>
      </c>
      <c r="E21" s="23" t="s">
        <v>142</v>
      </c>
      <c r="F21" s="23" t="s">
        <v>29</v>
      </c>
      <c r="G21" s="23" t="s">
        <v>143</v>
      </c>
      <c r="H21" s="11" t="s">
        <v>133</v>
      </c>
      <c r="I21" s="11" t="s">
        <v>17</v>
      </c>
      <c r="J21" s="11" t="s">
        <v>24</v>
      </c>
      <c r="K21" s="11" t="s">
        <v>25</v>
      </c>
      <c r="L21" s="11" t="s">
        <v>26</v>
      </c>
      <c r="M21" s="11" t="s">
        <v>27</v>
      </c>
      <c r="N21" s="12" t="s">
        <v>18</v>
      </c>
    </row>
    <row r="22" spans="1:14" ht="15.75" thickBot="1" x14ac:dyDescent="0.3">
      <c r="A22" s="17"/>
      <c r="B22" s="14"/>
      <c r="C22" s="26"/>
      <c r="D22" s="26" t="str" cm="1">
        <f t="array" ref="D22">IF(Table289[[#This Row],[Category Ref]]="", "",IFERROR(_xlfn.XLOOKUP(Table289[[#This Row],[Category Ref]],CatTable[[#All],[Category ID]],CatTable[[#All],[Functional
Sub-Category]]), "oops"))</f>
        <v/>
      </c>
      <c r="E22" s="15"/>
      <c r="F22" s="25"/>
      <c r="G22" s="15" t="str">
        <f>IF(OR(Table289[[#This Row],[Base Rate]]="", Table289[[#This Row],[Category Ref]]=""), "", IFERROR(Table289[[#This Row],[Base Rate]] * (1 - (_xlfn.XLOOKUP(Table289[[#This Row],[Category Ref]], CatTable[Category ID], CatTable[Minimum % Discount off MSRP
or Discount]) / 100)), ""))</f>
        <v/>
      </c>
      <c r="H22" s="14"/>
      <c r="I22" s="16" t="str">
        <f>IFERROR(Table289[[#This Row],[Total Qty]]*Table289[[#This Row],[Contract Price
(Base Rate - Disc %)]],"")</f>
        <v/>
      </c>
      <c r="J22" s="16"/>
      <c r="K22" s="16"/>
      <c r="L22" s="16"/>
      <c r="M22" s="16"/>
      <c r="N22" s="18">
        <f>SUM(Table289[[#This Row],[Year 1 Cost]:[Year 5 Cost]])</f>
        <v>0</v>
      </c>
    </row>
    <row r="23" spans="1:14" ht="15.75" thickBot="1" x14ac:dyDescent="0.3">
      <c r="A23" s="17"/>
      <c r="B23" s="14"/>
      <c r="C23" s="26"/>
      <c r="D23" s="26" t="str" cm="1">
        <f t="array" ref="D23">IF(Table289[[#This Row],[Category Ref]]="", "",IFERROR(_xlfn.XLOOKUP(Table289[[#This Row],[Category Ref]],CatTable[[#All],[Category ID]],CatTable[[#All],[Functional
Sub-Category]]), "oops"))</f>
        <v/>
      </c>
      <c r="E23" s="15"/>
      <c r="F23" s="25"/>
      <c r="G23" s="15" t="str">
        <f>IF(OR(Table289[[#This Row],[Base Rate]]="", Table289[[#This Row],[Category Ref]]=""), "", IFERROR(Table289[[#This Row],[Base Rate]] * (1 - (_xlfn.XLOOKUP(Table289[[#This Row],[Category Ref]], CatTable[Category ID], CatTable[Minimum % Discount off MSRP
or Discount]) / 100)), ""))</f>
        <v/>
      </c>
      <c r="H23" s="14"/>
      <c r="I23" s="16" t="str">
        <f>IFERROR(Table289[[#This Row],[Total Qty]]*Table289[[#This Row],[Contract Price
(Base Rate - Disc %)]],"")</f>
        <v/>
      </c>
      <c r="J23" s="16"/>
      <c r="K23" s="16"/>
      <c r="L23" s="16"/>
      <c r="M23" s="16"/>
      <c r="N23" s="18">
        <f>SUM(Table289[[#This Row],[Year 1 Cost]:[Year 5 Cost]])</f>
        <v>0</v>
      </c>
    </row>
    <row r="24" spans="1:14" ht="15.75" thickBot="1" x14ac:dyDescent="0.3">
      <c r="A24" s="17"/>
      <c r="B24" s="14"/>
      <c r="C24" s="26"/>
      <c r="D24" s="26" t="str" cm="1">
        <f t="array" ref="D24">IF(Table289[[#This Row],[Category Ref]]="", "",IFERROR(_xlfn.XLOOKUP(Table289[[#This Row],[Category Ref]],CatTable[[#All],[Category ID]],CatTable[[#All],[Functional
Sub-Category]]), "oops"))</f>
        <v/>
      </c>
      <c r="E24" s="14"/>
      <c r="F24" s="26"/>
      <c r="G24" s="15" t="str">
        <f>IF(OR(Table289[[#This Row],[Base Rate]]="", Table289[[#This Row],[Category Ref]]=""), "", IFERROR(Table289[[#This Row],[Base Rate]] * (1 - (_xlfn.XLOOKUP(Table289[[#This Row],[Category Ref]], CatTable[Category ID], CatTable[Minimum % Discount off MSRP
or Discount]) / 100)), ""))</f>
        <v/>
      </c>
      <c r="H24" s="14"/>
      <c r="I24" s="16" t="str">
        <f>IFERROR(Table289[[#This Row],[Total Qty]]*Table289[[#This Row],[Contract Price
(Base Rate - Disc %)]],"")</f>
        <v/>
      </c>
      <c r="J24" s="16"/>
      <c r="K24" s="16"/>
      <c r="L24" s="16"/>
      <c r="M24" s="16"/>
      <c r="N24" s="18">
        <f>SUM(Table289[[#This Row],[Year 1 Cost]:[Year 5 Cost]])</f>
        <v>0</v>
      </c>
    </row>
    <row r="25" spans="1:14" ht="15.75" thickBot="1" x14ac:dyDescent="0.3">
      <c r="A25" s="43"/>
      <c r="B25" s="19"/>
      <c r="C25" s="5"/>
      <c r="D25" s="26" t="str" cm="1">
        <f t="array" ref="D25">IF(Table289[[#This Row],[Category Ref]]="", "",IFERROR(_xlfn.XLOOKUP(Table289[[#This Row],[Category Ref]],CatTable[[#All],[Category ID]],CatTable[[#All],[Functional
Sub-Category]]), "oops"))</f>
        <v/>
      </c>
      <c r="E25" s="19"/>
      <c r="F25" s="5"/>
      <c r="G25" s="15" t="str">
        <f>IF(OR(Table289[[#This Row],[Base Rate]]="", Table289[[#This Row],[Category Ref]]=""), "", IFERROR(Table289[[#This Row],[Base Rate]] * (1 - (_xlfn.XLOOKUP(Table289[[#This Row],[Category Ref]], CatTable[Category ID], CatTable[Minimum % Discount off MSRP
or Discount]) / 100)), ""))</f>
        <v/>
      </c>
      <c r="H25" s="19"/>
      <c r="I25" s="16" t="str">
        <f>IFERROR(Table289[[#This Row],[Total Qty]]*Table289[[#This Row],[Contract Price
(Base Rate - Disc %)]],"")</f>
        <v/>
      </c>
      <c r="J25" s="41"/>
      <c r="K25" s="41"/>
      <c r="L25" s="41"/>
      <c r="M25" s="41"/>
      <c r="N25" s="18">
        <f>SUM(Table289[[#This Row],[Year 1 Cost]:[Year 5 Cost]])</f>
        <v>0</v>
      </c>
    </row>
    <row r="26" spans="1:14" ht="15.75" thickBot="1" x14ac:dyDescent="0.3">
      <c r="A26" s="35" t="s">
        <v>23</v>
      </c>
      <c r="B26" s="31"/>
      <c r="C26" s="32"/>
      <c r="D26" s="32"/>
      <c r="E26" s="31"/>
      <c r="F26" s="32"/>
      <c r="G26" s="31"/>
      <c r="H26" s="33"/>
      <c r="I26" s="16">
        <f>SUM(I22:I25)</f>
        <v>0</v>
      </c>
      <c r="J26" s="16">
        <f t="shared" ref="J26:M26" si="0">SUM(J22:J25)</f>
        <v>0</v>
      </c>
      <c r="K26" s="16">
        <f t="shared" si="0"/>
        <v>0</v>
      </c>
      <c r="L26" s="16">
        <f t="shared" si="0"/>
        <v>0</v>
      </c>
      <c r="M26" s="16">
        <f t="shared" si="0"/>
        <v>0</v>
      </c>
      <c r="N26" s="18">
        <f>SUM(Table289[[#This Row],[Year 1 Cost]:[Year 5 Cost]])</f>
        <v>0</v>
      </c>
    </row>
  </sheetData>
  <mergeCells count="1">
    <mergeCell ref="A19:B19"/>
  </mergeCells>
  <phoneticPr fontId="24" type="noConversion"/>
  <pageMargins left="0.7" right="0.7" top="1.5" bottom="0.75" header="0.55000000000000004" footer="0.3"/>
  <pageSetup scale="50" fitToHeight="0" orientation="landscape" horizontalDpi="1200" verticalDpi="1200" r:id="rId1"/>
  <headerFooter>
    <oddHeader>&amp;L&amp;G&amp;C&amp;A&amp;RRFP 2026-010
Digital Evidence and Situational Awareness Technologies</oddHeader>
  </headerFooter>
  <drawing r:id="rId2"/>
  <legacyDrawingHF r:id="rId3"/>
  <tableParts count="2">
    <tablePart r:id="rId4"/>
    <tablePart r:id="rId5"/>
  </tableParts>
  <extLst>
    <ext xmlns:x14="http://schemas.microsoft.com/office/spreadsheetml/2009/9/main" uri="{CCE6A557-97BC-4b89-ADB6-D9C93CAAB3DF}">
      <x14:dataValidations xmlns:xm="http://schemas.microsoft.com/office/excel/2006/main" count="3">
        <x14:dataValidation type="list" allowBlank="1" showInputMessage="1" showErrorMessage="1" xr:uid="{A98CE66F-F2A7-407A-847A-6C9678064B4B}">
          <x14:formula1>
            <xm:f>'Discount Category Table'!$A$3:$A$14</xm:f>
          </x14:formula1>
          <xm:sqref>C4:C7</xm:sqref>
        </x14:dataValidation>
        <x14:dataValidation type="list" allowBlank="1" showInputMessage="1" showErrorMessage="1" xr:uid="{9DBC51D1-5198-4CAE-B0DB-6982A770649D}">
          <x14:formula1>
            <xm:f>Sheet1!$L$1:$L$6</xm:f>
          </x14:formula1>
          <xm:sqref>I19</xm:sqref>
        </x14:dataValidation>
        <x14:dataValidation type="list" allowBlank="1" showInputMessage="1" showErrorMessage="1" xr:uid="{05B5F78D-6E97-4789-8DD0-0287D1927B31}">
          <x14:formula1>
            <xm:f>'Discount Category Table'!$A$19:$A$1048576</xm:f>
          </x14:formula1>
          <xm:sqref>C22:C1048576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C6490-1711-4435-A482-AF307312ADF9}">
  <sheetPr>
    <tabColor theme="8" tint="-0.249977111117893"/>
    <pageSetUpPr fitToPage="1"/>
  </sheetPr>
  <dimension ref="A1:N26"/>
  <sheetViews>
    <sheetView zoomScaleNormal="100" workbookViewId="0">
      <selection activeCell="A22" sqref="A22"/>
    </sheetView>
  </sheetViews>
  <sheetFormatPr defaultRowHeight="15" x14ac:dyDescent="0.25"/>
  <cols>
    <col min="1" max="1" width="27.7109375" customWidth="1"/>
    <col min="2" max="2" width="24.5703125" customWidth="1"/>
    <col min="3" max="3" width="12.42578125" style="24" customWidth="1"/>
    <col min="4" max="4" width="24.7109375" customWidth="1"/>
    <col min="5" max="5" width="12.5703125" style="24" bestFit="1" customWidth="1"/>
    <col min="6" max="6" width="20.7109375" customWidth="1"/>
    <col min="7" max="7" width="24.140625" customWidth="1"/>
    <col min="8" max="8" width="14.140625" bestFit="1" customWidth="1"/>
    <col min="9" max="13" width="14.28515625" customWidth="1"/>
    <col min="14" max="14" width="10.140625" bestFit="1" customWidth="1"/>
  </cols>
  <sheetData>
    <row r="1" spans="1:14" x14ac:dyDescent="0.25">
      <c r="A1" t="s">
        <v>10</v>
      </c>
    </row>
    <row r="2" spans="1:14" x14ac:dyDescent="0.25">
      <c r="C2"/>
      <c r="E2"/>
    </row>
    <row r="3" spans="1:14" s="13" customFormat="1" ht="45.75" thickBot="1" x14ac:dyDescent="0.3">
      <c r="A3" s="22" t="s">
        <v>11</v>
      </c>
      <c r="B3" s="11" t="s">
        <v>68</v>
      </c>
      <c r="C3" s="23" t="s">
        <v>13</v>
      </c>
      <c r="D3" s="23" t="s">
        <v>125</v>
      </c>
      <c r="E3" s="11" t="s">
        <v>14</v>
      </c>
      <c r="F3" s="23" t="s">
        <v>29</v>
      </c>
      <c r="G3" s="11" t="s">
        <v>15</v>
      </c>
      <c r="H3" s="11" t="s">
        <v>16</v>
      </c>
      <c r="I3" s="11" t="s">
        <v>17</v>
      </c>
      <c r="J3" s="11" t="s">
        <v>24</v>
      </c>
      <c r="K3" s="11" t="s">
        <v>25</v>
      </c>
      <c r="L3" s="11" t="s">
        <v>26</v>
      </c>
      <c r="M3" s="11" t="s">
        <v>27</v>
      </c>
      <c r="N3" s="12" t="s">
        <v>18</v>
      </c>
    </row>
    <row r="4" spans="1:14" ht="15.75" thickBot="1" x14ac:dyDescent="0.3">
      <c r="A4" s="17" t="s">
        <v>19</v>
      </c>
      <c r="B4" s="14" t="s">
        <v>20</v>
      </c>
      <c r="C4" s="26" t="s">
        <v>2</v>
      </c>
      <c r="D4" s="26" t="str">
        <f>_xlfn.XLOOKUP(Table21826[[#This Row],[Category Ref]],Table1[Category ID],Table1[Functional
Sub-Category], "oops")</f>
        <v>Primary Hardware</v>
      </c>
      <c r="E4" s="15">
        <v>800</v>
      </c>
      <c r="F4" s="25" t="s">
        <v>64</v>
      </c>
      <c r="G4" s="15">
        <f>Table21826[[#This Row],[MSRP]] * (1 - (VLOOKUP(Table21826[[#This Row],[Category Ref]], Table1[], 3, FALSE) / 100))</f>
        <v>640</v>
      </c>
      <c r="H4" s="14">
        <v>20</v>
      </c>
      <c r="I4" s="16">
        <f>Table21826[[#This Row],[Qty]]*Table21826[[#This Row],[Contract Price (MSRP - Disc%)]]</f>
        <v>12800</v>
      </c>
      <c r="J4" s="16">
        <f>Table21826[[#This Row],[Year 1 Cost]]*1.03</f>
        <v>13184</v>
      </c>
      <c r="K4" s="16">
        <f>Table21826[[#This Row],[Year 2 Cost]]*1.03</f>
        <v>13579.52</v>
      </c>
      <c r="L4" s="16">
        <f>Table21826[[#This Row],[Year 3 Cost]]*1.03</f>
        <v>13986.9056</v>
      </c>
      <c r="M4" s="16">
        <f>Table21826[[#This Row],[Year 4 Cost]]*1.03</f>
        <v>14406.512768000001</v>
      </c>
      <c r="N4" s="18">
        <f>SUM(Table21826[[#This Row],[Year 1 Cost]:[Year 5 Cost]])</f>
        <v>67956.938368000003</v>
      </c>
    </row>
    <row r="5" spans="1:14" ht="15.75" thickBot="1" x14ac:dyDescent="0.3">
      <c r="A5" s="17" t="s">
        <v>28</v>
      </c>
      <c r="B5" s="14" t="s">
        <v>48</v>
      </c>
      <c r="C5" s="26" t="s">
        <v>4</v>
      </c>
      <c r="D5" s="26" t="str">
        <f>_xlfn.XLOOKUP(Table21826[[#This Row],[Category Ref]],Table1[Category ID],Table1[Functional
Sub-Category], "oops")</f>
        <v>Parts &amp; Accessores</v>
      </c>
      <c r="E5" s="15">
        <v>180</v>
      </c>
      <c r="F5" s="25" t="s">
        <v>31</v>
      </c>
      <c r="G5" s="15">
        <f>Table21826[[#This Row],[MSRP]] * (1 - (VLOOKUP(Table21826[[#This Row],[Category Ref]], Table1[], 3, FALSE) / 100))</f>
        <v>144</v>
      </c>
      <c r="H5" s="14">
        <v>140</v>
      </c>
      <c r="I5" s="16">
        <f>Table21826[[#This Row],[Qty]]*Table21826[[#This Row],[Contract Price (MSRP - Disc%)]]</f>
        <v>20160</v>
      </c>
      <c r="J5" s="16">
        <v>0</v>
      </c>
      <c r="K5" s="16">
        <v>0</v>
      </c>
      <c r="L5" s="16">
        <v>0</v>
      </c>
      <c r="M5" s="16">
        <v>0</v>
      </c>
      <c r="N5" s="18">
        <f>SUM(Table21826[[#This Row],[Year 1 Cost]:[Year 5 Cost]])</f>
        <v>20160</v>
      </c>
    </row>
    <row r="6" spans="1:14" ht="29.25" thickBot="1" x14ac:dyDescent="0.3">
      <c r="A6" s="34" t="s">
        <v>72</v>
      </c>
      <c r="B6" s="28" t="s">
        <v>74</v>
      </c>
      <c r="C6" s="29" t="s">
        <v>112</v>
      </c>
      <c r="D6" s="26" t="str">
        <f>_xlfn.XLOOKUP(Table21826[[#This Row],[Category Ref]],Table1[Category ID],Table1[Functional
Sub-Category], "oops")</f>
        <v>OnSite Support Services</v>
      </c>
      <c r="E6" s="30">
        <v>800</v>
      </c>
      <c r="F6" s="40" t="s">
        <v>73</v>
      </c>
      <c r="G6" s="15">
        <f>Table21826[[#This Row],[MSRP]] * (1 - (VLOOKUP(Table21826[[#This Row],[Category Ref]], Table1[], 3, FALSE) / 100))</f>
        <v>784</v>
      </c>
      <c r="H6" s="28">
        <v>20</v>
      </c>
      <c r="I6" s="16"/>
      <c r="J6" s="16"/>
      <c r="K6" s="16"/>
      <c r="L6" s="16">
        <f>Table21826[[#This Row],[Contract Price (MSRP - Disc%)]]*Table21826[[#This Row],[Qty]]</f>
        <v>15680</v>
      </c>
      <c r="M6" s="16">
        <f>(Table21826[[#This Row],[Contract Price (MSRP - Disc%)]]*Table21826[[#This Row],[Qty]])*1.03</f>
        <v>16150.4</v>
      </c>
      <c r="N6" s="18">
        <f>SUM(Table21826[[#This Row],[Year 1 Cost]:[Year 5 Cost]])</f>
        <v>31830.400000000001</v>
      </c>
    </row>
    <row r="7" spans="1:14" ht="15.75" thickBot="1" x14ac:dyDescent="0.3">
      <c r="A7" s="34" t="s">
        <v>21</v>
      </c>
      <c r="B7" s="28" t="s">
        <v>22</v>
      </c>
      <c r="C7" s="29" t="s">
        <v>113</v>
      </c>
      <c r="D7" s="26" t="str">
        <f>_xlfn.XLOOKUP(Table21826[[#This Row],[Category Ref]],Table1[Category ID],Table1[Functional
Sub-Category], "oops")</f>
        <v>XYZ 24/7 Support</v>
      </c>
      <c r="E7" s="28">
        <v>100</v>
      </c>
      <c r="F7" s="29" t="s">
        <v>30</v>
      </c>
      <c r="G7" s="30">
        <f>Table21826[[#This Row],[MSRP]] * (1 - (VLOOKUP(Table21826[[#This Row],[Category Ref]], Table1[], 3, FALSE) / 100))</f>
        <v>85</v>
      </c>
      <c r="H7" s="28">
        <v>20</v>
      </c>
      <c r="I7" s="16">
        <f>12*Table21826[[#This Row],[Contract Price (MSRP - Disc%)]]</f>
        <v>1020</v>
      </c>
      <c r="J7" s="16">
        <f>12*Table21826[[#This Row],[Contract Price (MSRP - Disc%)]]+Table21826[[#This Row],[Year 1 Cost]]</f>
        <v>2040</v>
      </c>
      <c r="K7" s="16">
        <f>12*Table21826[[#This Row],[Contract Price (MSRP - Disc%)]]+Table21826[[#This Row],[Year 2 Cost]]</f>
        <v>3060</v>
      </c>
      <c r="L7" s="16">
        <f>12*Table21826[[#This Row],[Contract Price (MSRP - Disc%)]]+Table21826[[#This Row],[Year 3 Cost]]</f>
        <v>4080</v>
      </c>
      <c r="M7" s="16">
        <f>12*Table21826[[#This Row],[Contract Price (MSRP - Disc%)]]+Table21826[[#This Row],[Year 4 Cost]]</f>
        <v>5100</v>
      </c>
      <c r="N7" s="18">
        <f>SUM(Table21826[[#This Row],[Year 1 Cost]:[Year 5 Cost]])</f>
        <v>15300</v>
      </c>
    </row>
    <row r="8" spans="1:14" ht="15.75" thickBot="1" x14ac:dyDescent="0.3">
      <c r="A8" s="35" t="s">
        <v>23</v>
      </c>
      <c r="B8" s="31"/>
      <c r="C8" s="32"/>
      <c r="D8" s="32"/>
      <c r="E8" s="31"/>
      <c r="F8" s="32"/>
      <c r="G8" s="31"/>
      <c r="H8" s="33"/>
      <c r="I8" s="27">
        <f>SUBTOTAL(109,I4:I7)</f>
        <v>33980</v>
      </c>
      <c r="J8" s="20">
        <f>SUBTOTAL(109,J4:J7)</f>
        <v>15224</v>
      </c>
      <c r="K8" s="20">
        <f>SUM(K4:K7)</f>
        <v>16639.52</v>
      </c>
      <c r="L8" s="20">
        <f>SUM(L4:L7)</f>
        <v>33746.905599999998</v>
      </c>
      <c r="M8" s="20">
        <f>SUBTOTAL(109,M4:M7)</f>
        <v>35656.912768000002</v>
      </c>
      <c r="N8" s="21">
        <f>SUBTOTAL(109,N4:N7)</f>
        <v>135247.338368</v>
      </c>
    </row>
    <row r="9" spans="1:14" x14ac:dyDescent="0.25">
      <c r="A9" t="s">
        <v>75</v>
      </c>
      <c r="D9" s="24"/>
      <c r="E9"/>
      <c r="F9" s="24"/>
      <c r="J9" s="41"/>
      <c r="K9" s="41"/>
      <c r="L9" s="41"/>
      <c r="N9" s="21"/>
    </row>
    <row r="11" spans="1:14" ht="15.75" x14ac:dyDescent="0.25">
      <c r="A11" s="58" t="s">
        <v>83</v>
      </c>
      <c r="B11" s="59"/>
      <c r="C11" s="60"/>
      <c r="D11" s="59"/>
      <c r="E11" s="60"/>
      <c r="F11" s="59"/>
      <c r="G11" s="59"/>
      <c r="H11" s="59"/>
      <c r="I11" s="59"/>
      <c r="J11" s="59"/>
      <c r="K11" s="59"/>
      <c r="L11" s="59"/>
      <c r="M11" s="59"/>
      <c r="N11" s="59"/>
    </row>
    <row r="12" spans="1:14" ht="15.75" x14ac:dyDescent="0.25">
      <c r="A12" s="61" t="s">
        <v>84</v>
      </c>
      <c r="B12" s="59"/>
      <c r="C12" s="60"/>
      <c r="D12" s="59"/>
      <c r="E12" s="60"/>
      <c r="F12" s="59"/>
      <c r="G12" s="59"/>
      <c r="H12" s="59"/>
      <c r="I12" s="59"/>
      <c r="J12" s="59"/>
      <c r="K12" s="59"/>
      <c r="L12" s="59"/>
      <c r="M12" s="59"/>
      <c r="N12" s="59"/>
    </row>
    <row r="13" spans="1:14" ht="15.75" x14ac:dyDescent="0.25">
      <c r="A13" s="62" t="s">
        <v>85</v>
      </c>
      <c r="B13" s="59"/>
      <c r="C13" s="60"/>
      <c r="D13" s="59"/>
      <c r="E13" s="60"/>
      <c r="F13" s="59"/>
      <c r="G13" s="59"/>
      <c r="H13" s="59"/>
      <c r="I13" s="59"/>
      <c r="J13" s="59"/>
      <c r="K13" s="59"/>
      <c r="L13" s="59"/>
      <c r="M13" s="59"/>
      <c r="N13" s="59"/>
    </row>
    <row r="14" spans="1:14" ht="15.75" x14ac:dyDescent="0.25">
      <c r="A14" s="62" t="s">
        <v>86</v>
      </c>
      <c r="B14" s="59"/>
      <c r="C14" s="60"/>
      <c r="D14" s="59"/>
      <c r="E14" s="60"/>
      <c r="F14" s="59"/>
      <c r="G14" s="59"/>
      <c r="H14" s="59"/>
      <c r="I14" s="59"/>
      <c r="J14" s="59"/>
      <c r="K14" s="59"/>
      <c r="L14" s="59"/>
      <c r="M14" s="59"/>
      <c r="N14" s="59"/>
    </row>
    <row r="15" spans="1:14" ht="15.75" x14ac:dyDescent="0.25">
      <c r="A15" s="62" t="s">
        <v>87</v>
      </c>
      <c r="B15" s="59"/>
      <c r="C15" s="60"/>
      <c r="D15" s="59"/>
      <c r="E15" s="60"/>
      <c r="F15" s="59"/>
      <c r="G15" s="59"/>
      <c r="H15" s="59"/>
      <c r="I15" s="59"/>
      <c r="J15" s="59"/>
      <c r="K15" s="59"/>
      <c r="L15" s="59"/>
      <c r="M15" s="59"/>
      <c r="N15" s="59"/>
    </row>
    <row r="16" spans="1:14" ht="15.75" x14ac:dyDescent="0.25">
      <c r="A16" s="62" t="s">
        <v>88</v>
      </c>
      <c r="B16" s="59"/>
      <c r="C16" s="60"/>
      <c r="D16" s="59"/>
      <c r="E16" s="60"/>
      <c r="F16" s="59"/>
      <c r="G16" s="59"/>
      <c r="H16" s="59"/>
      <c r="I16" s="59"/>
      <c r="J16" s="59"/>
      <c r="K16" s="59"/>
      <c r="L16" s="59"/>
      <c r="M16" s="59"/>
      <c r="N16" s="59"/>
    </row>
    <row r="17" spans="1:14" ht="15.75" x14ac:dyDescent="0.25">
      <c r="A17" s="62" t="s">
        <v>144</v>
      </c>
      <c r="B17" s="59"/>
      <c r="C17" s="60"/>
      <c r="D17" s="59"/>
      <c r="E17" s="60"/>
      <c r="F17" s="59"/>
      <c r="G17" s="59"/>
      <c r="H17" s="59"/>
      <c r="I17" s="59"/>
      <c r="J17" s="59"/>
      <c r="K17" s="59"/>
      <c r="L17" s="59"/>
      <c r="M17" s="59"/>
      <c r="N17" s="59"/>
    </row>
    <row r="18" spans="1:14" ht="15.75" x14ac:dyDescent="0.25">
      <c r="A18" s="62"/>
      <c r="B18" s="59"/>
      <c r="C18" s="60"/>
      <c r="D18" s="59"/>
      <c r="E18" s="60"/>
      <c r="F18" s="59"/>
      <c r="G18" s="59"/>
      <c r="H18" s="59"/>
      <c r="I18" s="59"/>
      <c r="J18" s="59"/>
      <c r="K18" s="59"/>
      <c r="L18" s="59"/>
      <c r="M18" s="59"/>
      <c r="N18" s="59"/>
    </row>
    <row r="19" spans="1:14" ht="27" thickBot="1" x14ac:dyDescent="0.45">
      <c r="A19" s="141" t="str">
        <f>'Discount Category Table'!C16</f>
        <v>[Enter Company Name Here]</v>
      </c>
      <c r="B19" s="141"/>
      <c r="C19" s="36" t="s">
        <v>65</v>
      </c>
      <c r="D19" s="81" t="s">
        <v>103</v>
      </c>
      <c r="E19" s="38"/>
      <c r="F19" s="37"/>
      <c r="G19" s="38"/>
      <c r="H19" s="124"/>
      <c r="I19" s="37"/>
      <c r="J19" s="37"/>
      <c r="K19" s="37"/>
      <c r="L19" s="37"/>
      <c r="M19" s="37"/>
      <c r="N19" s="37"/>
    </row>
    <row r="20" spans="1:14" ht="15.75" thickTop="1" x14ac:dyDescent="0.25">
      <c r="D20" s="80" t="str">
        <f>'Discount Category Table'!C17</f>
        <v>[Please select Category for THIS discount submission.]</v>
      </c>
    </row>
    <row r="21" spans="1:14" ht="45.75" thickBot="1" x14ac:dyDescent="0.3">
      <c r="A21" s="22" t="s">
        <v>11</v>
      </c>
      <c r="B21" s="11" t="s">
        <v>12</v>
      </c>
      <c r="C21" s="23" t="s">
        <v>13</v>
      </c>
      <c r="D21" s="23" t="s">
        <v>125</v>
      </c>
      <c r="E21" s="23" t="s">
        <v>142</v>
      </c>
      <c r="F21" s="23" t="s">
        <v>29</v>
      </c>
      <c r="G21" s="23" t="s">
        <v>143</v>
      </c>
      <c r="H21" s="11" t="s">
        <v>133</v>
      </c>
      <c r="I21" s="11" t="s">
        <v>17</v>
      </c>
      <c r="J21" s="11" t="s">
        <v>24</v>
      </c>
      <c r="K21" s="11" t="s">
        <v>25</v>
      </c>
      <c r="L21" s="11" t="s">
        <v>26</v>
      </c>
      <c r="M21" s="11" t="s">
        <v>27</v>
      </c>
      <c r="N21" s="12" t="s">
        <v>18</v>
      </c>
    </row>
    <row r="22" spans="1:14" ht="15.75" thickBot="1" x14ac:dyDescent="0.3">
      <c r="A22" s="17"/>
      <c r="B22" s="14"/>
      <c r="C22" s="26"/>
      <c r="D22" s="26" t="str" cm="1">
        <f t="array" ref="D22">IF(Table2810[[#This Row],[Category Ref]]="", "",IFERROR(_xlfn.XLOOKUP(Table2810[[#This Row],[Category Ref]],CatTable[[#All],[Category ID]],CatTable[[#All],[Functional
Sub-Category]]), "oops"))</f>
        <v/>
      </c>
      <c r="E22" s="15"/>
      <c r="F22" s="25"/>
      <c r="G22" s="15" t="str">
        <f>IF(OR(Table2810[[#This Row],[Base Rate]]="", Table2810[[#This Row],[Category Ref]]=""), "", IFERROR(Table2810[[#This Row],[Base Rate]] * (1 - (_xlfn.XLOOKUP(Table2810[[#This Row],[Category Ref]], CatTable[Category ID], CatTable[Minimum % Discount off MSRP
or Discount]) / 100)), ""))</f>
        <v/>
      </c>
      <c r="H22" s="14"/>
      <c r="I22" s="16" t="str">
        <f>IFERROR(Table2810[[#This Row],[Total Qty]]*Table2810[[#This Row],[Contract Price
(Base Rate - Disc %)]],"")</f>
        <v/>
      </c>
      <c r="J22" s="16"/>
      <c r="K22" s="16"/>
      <c r="L22" s="16"/>
      <c r="M22" s="16"/>
      <c r="N22" s="18">
        <f>SUM(Table2810[[#This Row],[Year 1 Cost]:[Year 5 Cost]])</f>
        <v>0</v>
      </c>
    </row>
    <row r="23" spans="1:14" ht="15.75" thickBot="1" x14ac:dyDescent="0.3">
      <c r="A23" s="17"/>
      <c r="B23" s="14"/>
      <c r="C23" s="26"/>
      <c r="D23" s="26" t="str" cm="1">
        <f t="array" ref="D23">IF(Table2810[[#This Row],[Category Ref]]="", "",IFERROR(_xlfn.XLOOKUP(Table2810[[#This Row],[Category Ref]],CatTable[[#All],[Category ID]],CatTable[[#All],[Functional
Sub-Category]]), "oops"))</f>
        <v/>
      </c>
      <c r="E23" s="15"/>
      <c r="F23" s="25"/>
      <c r="G23" s="15" t="str">
        <f>IF(OR(Table2810[[#This Row],[Base Rate]]="", Table2810[[#This Row],[Category Ref]]=""), "", IFERROR(Table2810[[#This Row],[Base Rate]] * (1 - (_xlfn.XLOOKUP(Table2810[[#This Row],[Category Ref]], CatTable[Category ID], CatTable[Minimum % Discount off MSRP
or Discount]) / 100)), ""))</f>
        <v/>
      </c>
      <c r="H23" s="14"/>
      <c r="I23" s="16" t="str">
        <f>IFERROR(Table2810[[#This Row],[Total Qty]]*Table2810[[#This Row],[Contract Price
(Base Rate - Disc %)]],"")</f>
        <v/>
      </c>
      <c r="J23" s="16"/>
      <c r="K23" s="16"/>
      <c r="L23" s="16"/>
      <c r="M23" s="16"/>
      <c r="N23" s="18">
        <f>SUM(Table2810[[#This Row],[Year 1 Cost]:[Year 5 Cost]])</f>
        <v>0</v>
      </c>
    </row>
    <row r="24" spans="1:14" ht="15.75" thickBot="1" x14ac:dyDescent="0.3">
      <c r="A24" s="17"/>
      <c r="B24" s="14"/>
      <c r="C24" s="26"/>
      <c r="D24" s="26" t="str" cm="1">
        <f t="array" ref="D24">IF(Table2810[[#This Row],[Category Ref]]="", "",IFERROR(_xlfn.XLOOKUP(Table2810[[#This Row],[Category Ref]],CatTable[[#All],[Category ID]],CatTable[[#All],[Functional
Sub-Category]]), "oops"))</f>
        <v/>
      </c>
      <c r="E24" s="14"/>
      <c r="F24" s="26"/>
      <c r="G24" s="15" t="str">
        <f>IF(OR(Table2810[[#This Row],[Base Rate]]="", Table2810[[#This Row],[Category Ref]]=""), "", IFERROR(Table2810[[#This Row],[Base Rate]] * (1 - (_xlfn.XLOOKUP(Table2810[[#This Row],[Category Ref]], CatTable[Category ID], CatTable[Minimum % Discount off MSRP
or Discount]) / 100)), ""))</f>
        <v/>
      </c>
      <c r="H24" s="14"/>
      <c r="I24" s="16" t="str">
        <f>IFERROR(Table2810[[#This Row],[Total Qty]]*Table2810[[#This Row],[Contract Price
(Base Rate - Disc %)]],"")</f>
        <v/>
      </c>
      <c r="J24" s="16"/>
      <c r="K24" s="16"/>
      <c r="L24" s="16"/>
      <c r="M24" s="16"/>
      <c r="N24" s="18">
        <f>SUM(Table2810[[#This Row],[Year 1 Cost]:[Year 5 Cost]])</f>
        <v>0</v>
      </c>
    </row>
    <row r="25" spans="1:14" ht="15.75" thickBot="1" x14ac:dyDescent="0.3">
      <c r="A25" s="43"/>
      <c r="B25" s="19"/>
      <c r="C25" s="5"/>
      <c r="D25" s="26" t="str" cm="1">
        <f t="array" ref="D25">IF(Table2810[[#This Row],[Category Ref]]="", "",IFERROR(_xlfn.XLOOKUP(Table2810[[#This Row],[Category Ref]],CatTable[[#All],[Category ID]],CatTable[[#All],[Functional
Sub-Category]]), "oops"))</f>
        <v/>
      </c>
      <c r="E25" s="19"/>
      <c r="F25" s="5"/>
      <c r="G25" s="15" t="str">
        <f>IF(OR(Table2810[[#This Row],[Base Rate]]="", Table2810[[#This Row],[Category Ref]]=""), "", IFERROR(Table2810[[#This Row],[Base Rate]] * (1 - (_xlfn.XLOOKUP(Table2810[[#This Row],[Category Ref]], CatTable[Category ID], CatTable[Minimum % Discount off MSRP
or Discount]) / 100)), ""))</f>
        <v/>
      </c>
      <c r="H25" s="19"/>
      <c r="I25" s="16" t="str">
        <f>IFERROR(Table2810[[#This Row],[Total Qty]]*Table2810[[#This Row],[Contract Price
(Base Rate - Disc %)]],"")</f>
        <v/>
      </c>
      <c r="J25" s="41"/>
      <c r="K25" s="41"/>
      <c r="L25" s="41"/>
      <c r="M25" s="41"/>
      <c r="N25" s="18">
        <f>SUM(Table2810[[#This Row],[Year 1 Cost]:[Year 5 Cost]])</f>
        <v>0</v>
      </c>
    </row>
    <row r="26" spans="1:14" ht="15.75" thickBot="1" x14ac:dyDescent="0.3">
      <c r="A26" s="35" t="s">
        <v>23</v>
      </c>
      <c r="B26" s="31"/>
      <c r="C26" s="32"/>
      <c r="D26" s="32"/>
      <c r="E26" s="31"/>
      <c r="F26" s="32"/>
      <c r="G26" s="31"/>
      <c r="H26" s="33"/>
      <c r="I26" s="16">
        <f>SUM(I22:I25)</f>
        <v>0</v>
      </c>
      <c r="J26" s="16">
        <f t="shared" ref="J26:M26" si="0">SUM(J22:J25)</f>
        <v>0</v>
      </c>
      <c r="K26" s="16">
        <f t="shared" si="0"/>
        <v>0</v>
      </c>
      <c r="L26" s="16">
        <f t="shared" si="0"/>
        <v>0</v>
      </c>
      <c r="M26" s="16">
        <f t="shared" si="0"/>
        <v>0</v>
      </c>
      <c r="N26" s="18">
        <f>SUM(Table2810[[#This Row],[Year 1 Cost]:[Year 5 Cost]])</f>
        <v>0</v>
      </c>
    </row>
  </sheetData>
  <mergeCells count="1">
    <mergeCell ref="A19:B19"/>
  </mergeCells>
  <pageMargins left="0.7" right="0.7" top="1.5" bottom="0.75" header="0.55000000000000004" footer="0.3"/>
  <pageSetup scale="50" fitToHeight="0" orientation="landscape" horizontalDpi="1200" verticalDpi="1200" r:id="rId1"/>
  <headerFooter>
    <oddHeader>&amp;L&amp;G&amp;C&amp;A&amp;RRFP 2026-010
Digital Evidence and Situational Awareness Technologies</oddHeader>
  </headerFooter>
  <drawing r:id="rId2"/>
  <legacyDrawingHF r:id="rId3"/>
  <tableParts count="2">
    <tablePart r:id="rId4"/>
    <tablePart r:id="rId5"/>
  </tableParts>
  <extLst>
    <ext xmlns:x14="http://schemas.microsoft.com/office/spreadsheetml/2009/9/main" uri="{CCE6A557-97BC-4b89-ADB6-D9C93CAAB3DF}">
      <x14:dataValidations xmlns:xm="http://schemas.microsoft.com/office/excel/2006/main" count="3">
        <x14:dataValidation type="list" allowBlank="1" showInputMessage="1" showErrorMessage="1" xr:uid="{360E92C0-99CF-40B3-8D4A-8639CB0F9AC0}">
          <x14:formula1>
            <xm:f>'Discount Category Table'!$A$3:$A$14</xm:f>
          </x14:formula1>
          <xm:sqref>C4:C7</xm:sqref>
        </x14:dataValidation>
        <x14:dataValidation type="list" allowBlank="1" showInputMessage="1" showErrorMessage="1" xr:uid="{EFA46CA6-6876-4DD6-8D79-B75201FB3C4B}">
          <x14:formula1>
            <xm:f>Sheet1!$L$1:$L$6</xm:f>
          </x14:formula1>
          <xm:sqref>I19</xm:sqref>
        </x14:dataValidation>
        <x14:dataValidation type="list" allowBlank="1" showInputMessage="1" showErrorMessage="1" xr:uid="{054020B7-ACD7-4098-9274-4FB8EE2CD26D}">
          <x14:formula1>
            <xm:f>'Discount Category Table'!$A$19:$A$1048576</xm:f>
          </x14:formula1>
          <xm:sqref>C22:C1048576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23A17-0D63-4961-941A-7DBEEB731A81}">
  <sheetPr>
    <tabColor theme="8" tint="-0.249977111117893"/>
    <pageSetUpPr fitToPage="1"/>
  </sheetPr>
  <dimension ref="A1:N26"/>
  <sheetViews>
    <sheetView zoomScaleNormal="100" workbookViewId="0">
      <selection activeCell="A22" sqref="A22"/>
    </sheetView>
  </sheetViews>
  <sheetFormatPr defaultRowHeight="15" x14ac:dyDescent="0.25"/>
  <cols>
    <col min="1" max="1" width="27.7109375" customWidth="1"/>
    <col min="2" max="2" width="24.5703125" customWidth="1"/>
    <col min="3" max="3" width="12.42578125" style="24" customWidth="1"/>
    <col min="4" max="4" width="24.7109375" customWidth="1"/>
    <col min="5" max="5" width="12.5703125" style="24" bestFit="1" customWidth="1"/>
    <col min="6" max="6" width="20.7109375" customWidth="1"/>
    <col min="7" max="7" width="23.28515625" customWidth="1"/>
    <col min="8" max="8" width="14.140625" bestFit="1" customWidth="1"/>
    <col min="9" max="13" width="14.28515625" customWidth="1"/>
    <col min="14" max="14" width="10.140625" bestFit="1" customWidth="1"/>
  </cols>
  <sheetData>
    <row r="1" spans="1:14" x14ac:dyDescent="0.25">
      <c r="A1" t="s">
        <v>10</v>
      </c>
    </row>
    <row r="2" spans="1:14" x14ac:dyDescent="0.25">
      <c r="C2"/>
      <c r="E2"/>
    </row>
    <row r="3" spans="1:14" s="13" customFormat="1" ht="45.75" thickBot="1" x14ac:dyDescent="0.3">
      <c r="A3" s="22" t="s">
        <v>11</v>
      </c>
      <c r="B3" s="11" t="s">
        <v>68</v>
      </c>
      <c r="C3" s="23" t="s">
        <v>13</v>
      </c>
      <c r="D3" s="23" t="s">
        <v>125</v>
      </c>
      <c r="E3" s="11" t="s">
        <v>14</v>
      </c>
      <c r="F3" s="23" t="s">
        <v>29</v>
      </c>
      <c r="G3" s="11" t="s">
        <v>15</v>
      </c>
      <c r="H3" s="11" t="s">
        <v>16</v>
      </c>
      <c r="I3" s="11" t="s">
        <v>17</v>
      </c>
      <c r="J3" s="11" t="s">
        <v>24</v>
      </c>
      <c r="K3" s="11" t="s">
        <v>25</v>
      </c>
      <c r="L3" s="11" t="s">
        <v>26</v>
      </c>
      <c r="M3" s="11" t="s">
        <v>27</v>
      </c>
      <c r="N3" s="12" t="s">
        <v>18</v>
      </c>
    </row>
    <row r="4" spans="1:14" ht="15.75" thickBot="1" x14ac:dyDescent="0.3">
      <c r="A4" s="17" t="s">
        <v>19</v>
      </c>
      <c r="B4" s="14" t="s">
        <v>20</v>
      </c>
      <c r="C4" s="26" t="s">
        <v>2</v>
      </c>
      <c r="D4" s="26" t="str">
        <f>_xlfn.XLOOKUP(Table218[[#This Row],[Category Ref]],Table1[Category ID],Table1[Functional
Sub-Category], "oops")</f>
        <v>Primary Hardware</v>
      </c>
      <c r="E4" s="15">
        <v>800</v>
      </c>
      <c r="F4" s="25" t="s">
        <v>64</v>
      </c>
      <c r="G4" s="15">
        <f>Table218[[#This Row],[MSRP]] * (1 - (VLOOKUP(Table218[[#This Row],[Category Ref]], Table1[], 3, FALSE) / 100))</f>
        <v>640</v>
      </c>
      <c r="H4" s="14">
        <v>20</v>
      </c>
      <c r="I4" s="16">
        <f>Table218[[#This Row],[Qty]]*Table218[[#This Row],[Contract Price (MSRP - Disc%)]]</f>
        <v>12800</v>
      </c>
      <c r="J4" s="16">
        <f>Table218[[#This Row],[Year 1 Cost]]*1.03</f>
        <v>13184</v>
      </c>
      <c r="K4" s="16">
        <f>Table218[[#This Row],[Year 2 Cost]]*1.03</f>
        <v>13579.52</v>
      </c>
      <c r="L4" s="16">
        <f>Table218[[#This Row],[Year 3 Cost]]*1.03</f>
        <v>13986.9056</v>
      </c>
      <c r="M4" s="16">
        <f>Table218[[#This Row],[Year 4 Cost]]*1.03</f>
        <v>14406.512768000001</v>
      </c>
      <c r="N4" s="18">
        <f>SUM(Table218[[#This Row],[Year 1 Cost]:[Year 5 Cost]])</f>
        <v>67956.938368000003</v>
      </c>
    </row>
    <row r="5" spans="1:14" ht="15.75" thickBot="1" x14ac:dyDescent="0.3">
      <c r="A5" s="17" t="s">
        <v>28</v>
      </c>
      <c r="B5" s="14" t="s">
        <v>48</v>
      </c>
      <c r="C5" s="26" t="s">
        <v>4</v>
      </c>
      <c r="D5" s="26" t="str">
        <f>_xlfn.XLOOKUP(Table218[[#This Row],[Category Ref]],Table1[Category ID],Table1[Functional
Sub-Category], "oops")</f>
        <v>Parts &amp; Accessores</v>
      </c>
      <c r="E5" s="15">
        <v>180</v>
      </c>
      <c r="F5" s="25" t="s">
        <v>31</v>
      </c>
      <c r="G5" s="15">
        <f>Table218[[#This Row],[MSRP]] * (1 - (VLOOKUP(Table218[[#This Row],[Category Ref]], Table1[], 3, FALSE) / 100))</f>
        <v>144</v>
      </c>
      <c r="H5" s="14">
        <v>140</v>
      </c>
      <c r="I5" s="16">
        <f>Table218[[#This Row],[Qty]]*Table218[[#This Row],[Contract Price (MSRP - Disc%)]]</f>
        <v>20160</v>
      </c>
      <c r="J5" s="16">
        <v>0</v>
      </c>
      <c r="K5" s="16">
        <v>0</v>
      </c>
      <c r="L5" s="16">
        <v>0</v>
      </c>
      <c r="M5" s="16">
        <v>0</v>
      </c>
      <c r="N5" s="18">
        <f>SUM(Table218[[#This Row],[Year 1 Cost]:[Year 5 Cost]])</f>
        <v>20160</v>
      </c>
    </row>
    <row r="6" spans="1:14" ht="29.25" thickBot="1" x14ac:dyDescent="0.3">
      <c r="A6" s="34" t="s">
        <v>72</v>
      </c>
      <c r="B6" s="28" t="s">
        <v>74</v>
      </c>
      <c r="C6" s="29" t="s">
        <v>112</v>
      </c>
      <c r="D6" s="26" t="str">
        <f>_xlfn.XLOOKUP(Table218[[#This Row],[Category Ref]],Table1[Category ID],Table1[Functional
Sub-Category], "oops")</f>
        <v>OnSite Support Services</v>
      </c>
      <c r="E6" s="30">
        <v>800</v>
      </c>
      <c r="F6" s="40" t="s">
        <v>73</v>
      </c>
      <c r="G6" s="15">
        <f>Table218[[#This Row],[MSRP]] * (1 - (VLOOKUP(Table218[[#This Row],[Category Ref]], Table1[], 3, FALSE) / 100))</f>
        <v>784</v>
      </c>
      <c r="H6" s="28">
        <v>20</v>
      </c>
      <c r="I6" s="16"/>
      <c r="J6" s="16"/>
      <c r="K6" s="16"/>
      <c r="L6" s="16">
        <f>Table218[[#This Row],[Contract Price (MSRP - Disc%)]]*Table218[[#This Row],[Qty]]</f>
        <v>15680</v>
      </c>
      <c r="M6" s="16">
        <f>(Table218[[#This Row],[Contract Price (MSRP - Disc%)]]*Table218[[#This Row],[Qty]])*1.03</f>
        <v>16150.4</v>
      </c>
      <c r="N6" s="18">
        <f>SUM(Table218[[#This Row],[Year 1 Cost]:[Year 5 Cost]])</f>
        <v>31830.400000000001</v>
      </c>
    </row>
    <row r="7" spans="1:14" ht="15.75" thickBot="1" x14ac:dyDescent="0.3">
      <c r="A7" s="34" t="s">
        <v>21</v>
      </c>
      <c r="B7" s="28" t="s">
        <v>22</v>
      </c>
      <c r="C7" s="29" t="s">
        <v>113</v>
      </c>
      <c r="D7" s="26" t="str">
        <f>_xlfn.XLOOKUP(Table218[[#This Row],[Category Ref]],Table1[Category ID],Table1[Functional
Sub-Category], "oops")</f>
        <v>XYZ 24/7 Support</v>
      </c>
      <c r="E7" s="28">
        <v>100</v>
      </c>
      <c r="F7" s="29" t="s">
        <v>30</v>
      </c>
      <c r="G7" s="30">
        <f>Table218[[#This Row],[MSRP]] * (1 - (VLOOKUP(Table218[[#This Row],[Category Ref]], Table1[], 3, FALSE) / 100))</f>
        <v>85</v>
      </c>
      <c r="H7" s="28">
        <v>20</v>
      </c>
      <c r="I7" s="16">
        <f>12*Table218[[#This Row],[Contract Price (MSRP - Disc%)]]</f>
        <v>1020</v>
      </c>
      <c r="J7" s="16">
        <f>12*Table218[[#This Row],[Contract Price (MSRP - Disc%)]]+Table218[[#This Row],[Year 1 Cost]]</f>
        <v>2040</v>
      </c>
      <c r="K7" s="16">
        <f>12*Table218[[#This Row],[Contract Price (MSRP - Disc%)]]+Table218[[#This Row],[Year 2 Cost]]</f>
        <v>3060</v>
      </c>
      <c r="L7" s="16">
        <f>12*Table218[[#This Row],[Contract Price (MSRP - Disc%)]]+Table218[[#This Row],[Year 3 Cost]]</f>
        <v>4080</v>
      </c>
      <c r="M7" s="16">
        <f>12*Table218[[#This Row],[Contract Price (MSRP - Disc%)]]+Table218[[#This Row],[Year 4 Cost]]</f>
        <v>5100</v>
      </c>
      <c r="N7" s="18">
        <f>SUM(Table218[[#This Row],[Year 1 Cost]:[Year 5 Cost]])</f>
        <v>15300</v>
      </c>
    </row>
    <row r="8" spans="1:14" ht="15.75" thickBot="1" x14ac:dyDescent="0.3">
      <c r="A8" s="35" t="s">
        <v>23</v>
      </c>
      <c r="B8" s="31"/>
      <c r="C8" s="32"/>
      <c r="D8" s="32"/>
      <c r="E8" s="31"/>
      <c r="F8" s="32"/>
      <c r="G8" s="31"/>
      <c r="H8" s="33"/>
      <c r="I8" s="27">
        <f>SUBTOTAL(109,I4:I7)</f>
        <v>33980</v>
      </c>
      <c r="J8" s="20">
        <f>SUBTOTAL(109,J4:J7)</f>
        <v>15224</v>
      </c>
      <c r="K8" s="20">
        <f>SUM(K4:K7)</f>
        <v>16639.52</v>
      </c>
      <c r="L8" s="20">
        <f>SUM(L4:L7)</f>
        <v>33746.905599999998</v>
      </c>
      <c r="M8" s="20">
        <f>SUBTOTAL(109,M4:M7)</f>
        <v>35656.912768000002</v>
      </c>
      <c r="N8" s="21">
        <f>SUBTOTAL(109,N4:N7)</f>
        <v>135247.338368</v>
      </c>
    </row>
    <row r="9" spans="1:14" x14ac:dyDescent="0.25">
      <c r="A9" t="s">
        <v>75</v>
      </c>
      <c r="D9" s="24"/>
      <c r="E9"/>
      <c r="F9" s="24"/>
      <c r="J9" s="41"/>
      <c r="K9" s="41"/>
      <c r="L9" s="41"/>
      <c r="N9" s="21"/>
    </row>
    <row r="11" spans="1:14" ht="15.75" x14ac:dyDescent="0.25">
      <c r="A11" s="58" t="s">
        <v>95</v>
      </c>
      <c r="B11" s="59"/>
      <c r="C11" s="60"/>
      <c r="D11" s="59"/>
      <c r="E11" s="60"/>
      <c r="F11" s="59"/>
      <c r="G11" s="59"/>
      <c r="H11" s="59"/>
      <c r="I11" s="59"/>
      <c r="J11" s="59"/>
      <c r="K11" s="59"/>
      <c r="L11" s="59"/>
      <c r="M11" s="59"/>
      <c r="N11" s="59"/>
    </row>
    <row r="12" spans="1:14" ht="15.75" x14ac:dyDescent="0.25">
      <c r="A12" s="61" t="s">
        <v>96</v>
      </c>
      <c r="B12" s="59"/>
      <c r="C12" s="60"/>
      <c r="D12" s="59"/>
      <c r="E12" s="60"/>
      <c r="F12" s="59"/>
      <c r="G12" s="59"/>
      <c r="H12" s="59"/>
      <c r="I12" s="59"/>
      <c r="J12" s="59"/>
      <c r="K12" s="59"/>
      <c r="L12" s="59"/>
      <c r="M12" s="59"/>
      <c r="N12" s="59"/>
    </row>
    <row r="13" spans="1:14" ht="15.75" x14ac:dyDescent="0.25">
      <c r="A13" s="64" t="s">
        <v>97</v>
      </c>
      <c r="B13" s="59"/>
      <c r="C13" s="60"/>
      <c r="D13" s="59"/>
      <c r="E13" s="60"/>
      <c r="F13" s="59"/>
      <c r="G13" s="59"/>
      <c r="H13" s="59"/>
      <c r="I13" s="59"/>
      <c r="J13" s="59"/>
      <c r="K13" s="59"/>
      <c r="L13" s="59"/>
      <c r="M13" s="59"/>
      <c r="N13" s="59"/>
    </row>
    <row r="14" spans="1:14" ht="15.75" x14ac:dyDescent="0.25">
      <c r="A14" s="64" t="s">
        <v>98</v>
      </c>
      <c r="B14" s="59"/>
      <c r="C14" s="60"/>
      <c r="D14" s="59"/>
      <c r="E14" s="60"/>
      <c r="F14" s="59"/>
      <c r="G14" s="59"/>
      <c r="H14" s="59"/>
      <c r="I14" s="59"/>
      <c r="J14" s="59"/>
      <c r="K14" s="59"/>
      <c r="L14" s="59"/>
      <c r="M14" s="59"/>
      <c r="N14" s="59"/>
    </row>
    <row r="15" spans="1:14" ht="15.75" x14ac:dyDescent="0.25">
      <c r="A15" s="64" t="s">
        <v>101</v>
      </c>
      <c r="B15" s="59"/>
      <c r="C15" s="60"/>
      <c r="D15" s="59"/>
      <c r="E15" s="60"/>
      <c r="F15" s="59"/>
      <c r="G15" s="59"/>
      <c r="H15" s="59"/>
      <c r="I15" s="59"/>
      <c r="J15" s="59"/>
      <c r="K15" s="59"/>
      <c r="L15" s="59"/>
      <c r="M15" s="59"/>
      <c r="N15" s="59"/>
    </row>
    <row r="16" spans="1:14" ht="15.75" x14ac:dyDescent="0.25">
      <c r="A16" s="64" t="s">
        <v>99</v>
      </c>
      <c r="B16" s="59"/>
      <c r="C16" s="60"/>
      <c r="D16" s="59"/>
      <c r="E16" s="60"/>
      <c r="F16" s="59"/>
      <c r="G16" s="59"/>
      <c r="H16" s="59"/>
      <c r="I16" s="59"/>
      <c r="J16" s="59"/>
      <c r="K16" s="59"/>
      <c r="L16" s="59"/>
      <c r="M16" s="59"/>
      <c r="N16" s="59"/>
    </row>
    <row r="17" spans="1:14" ht="15.75" x14ac:dyDescent="0.25">
      <c r="A17" s="64" t="s">
        <v>100</v>
      </c>
      <c r="B17" s="59"/>
      <c r="C17" s="60"/>
      <c r="D17" s="59"/>
      <c r="E17" s="60"/>
      <c r="F17" s="59"/>
      <c r="G17" s="59"/>
      <c r="H17" s="59"/>
      <c r="I17" s="59"/>
      <c r="J17" s="59"/>
      <c r="K17" s="59"/>
      <c r="L17" s="59"/>
      <c r="M17" s="59"/>
      <c r="N17" s="59"/>
    </row>
    <row r="18" spans="1:14" ht="15.75" x14ac:dyDescent="0.25">
      <c r="A18" s="64" t="s">
        <v>144</v>
      </c>
      <c r="B18" s="59"/>
      <c r="C18" s="60"/>
      <c r="D18" s="59"/>
      <c r="E18" s="60"/>
      <c r="F18" s="59"/>
      <c r="G18" s="59"/>
      <c r="H18" s="59"/>
      <c r="I18" s="59"/>
      <c r="J18" s="59"/>
      <c r="K18" s="59"/>
      <c r="L18" s="59"/>
      <c r="M18" s="59"/>
      <c r="N18" s="59"/>
    </row>
    <row r="19" spans="1:14" ht="27" thickBot="1" x14ac:dyDescent="0.45">
      <c r="A19" s="141" t="str">
        <f>'Discount Category Table'!C16</f>
        <v>[Enter Company Name Here]</v>
      </c>
      <c r="B19" s="141"/>
      <c r="C19" s="36" t="s">
        <v>65</v>
      </c>
      <c r="D19" s="81" t="s">
        <v>102</v>
      </c>
      <c r="E19" s="38"/>
      <c r="F19" s="37"/>
      <c r="G19" s="38"/>
      <c r="H19" s="124"/>
      <c r="I19" s="37"/>
      <c r="J19" s="37"/>
      <c r="K19" s="37"/>
      <c r="L19" s="37"/>
      <c r="M19" s="37"/>
      <c r="N19" s="37"/>
    </row>
    <row r="20" spans="1:14" ht="15.75" thickTop="1" x14ac:dyDescent="0.25">
      <c r="D20" s="80" t="str">
        <f>'Discount Category Table'!C17</f>
        <v>[Please select Category for THIS discount submission.]</v>
      </c>
    </row>
    <row r="21" spans="1:14" s="24" customFormat="1" ht="45.75" thickBot="1" x14ac:dyDescent="0.3">
      <c r="A21" s="22" t="s">
        <v>11</v>
      </c>
      <c r="B21" s="11" t="s">
        <v>12</v>
      </c>
      <c r="C21" s="23" t="s">
        <v>13</v>
      </c>
      <c r="D21" s="23" t="s">
        <v>125</v>
      </c>
      <c r="E21" s="23" t="s">
        <v>142</v>
      </c>
      <c r="F21" s="23" t="s">
        <v>29</v>
      </c>
      <c r="G21" s="23" t="s">
        <v>143</v>
      </c>
      <c r="H21" s="11" t="s">
        <v>133</v>
      </c>
      <c r="I21" s="11" t="s">
        <v>17</v>
      </c>
      <c r="J21" s="11" t="s">
        <v>24</v>
      </c>
      <c r="K21" s="11" t="s">
        <v>25</v>
      </c>
      <c r="L21" s="11" t="s">
        <v>26</v>
      </c>
      <c r="M21" s="11" t="s">
        <v>27</v>
      </c>
      <c r="N21" s="12" t="s">
        <v>18</v>
      </c>
    </row>
    <row r="22" spans="1:14" ht="15.75" thickBot="1" x14ac:dyDescent="0.3">
      <c r="A22" s="17"/>
      <c r="B22" s="14"/>
      <c r="C22" s="26"/>
      <c r="D22" s="26" t="str" cm="1">
        <f t="array" ref="D22">IF(Table2811[[#This Row],[Category Ref]]="", "",IFERROR(_xlfn.XLOOKUP(Table2811[[#This Row],[Category Ref]],CatTable[[#All],[Category ID]],CatTable[[#All],[Functional
Sub-Category]]), "oops"))</f>
        <v/>
      </c>
      <c r="E22" s="15"/>
      <c r="F22" s="25"/>
      <c r="G22" s="15" t="str">
        <f>IF(OR(Table2811[[#This Row],[Base Rate]]="", Table2811[[#This Row],[Category Ref]]=""), "", IFERROR(Table2811[[#This Row],[Base Rate]] * (1 - (_xlfn.XLOOKUP(Table2811[[#This Row],[Category Ref]], CatTable[Category ID], CatTable[Minimum % Discount off MSRP
or Discount]) / 100)), ""))</f>
        <v/>
      </c>
      <c r="H22" s="14"/>
      <c r="I22" s="16" t="str">
        <f>IFERROR(Table2811[[#This Row],[Total Qty]]*Table2811[[#This Row],[Contract Price
(Base Rate - Disc %)]],"")</f>
        <v/>
      </c>
      <c r="J22" s="16"/>
      <c r="K22" s="16"/>
      <c r="L22" s="16"/>
      <c r="M22" s="16"/>
      <c r="N22" s="18">
        <f>SUM(Table2811[[#This Row],[Year 1 Cost]:[Year 5 Cost]])</f>
        <v>0</v>
      </c>
    </row>
    <row r="23" spans="1:14" ht="15.75" thickBot="1" x14ac:dyDescent="0.3">
      <c r="A23" s="17"/>
      <c r="B23" s="14"/>
      <c r="C23" s="26"/>
      <c r="D23" s="26" t="str" cm="1">
        <f t="array" ref="D23">IF(Table2811[[#This Row],[Category Ref]]="", "",IFERROR(_xlfn.XLOOKUP(Table2811[[#This Row],[Category Ref]],CatTable[[#All],[Category ID]],CatTable[[#All],[Functional
Sub-Category]]), "oops"))</f>
        <v/>
      </c>
      <c r="E23" s="15"/>
      <c r="F23" s="25"/>
      <c r="G23" s="15" t="str">
        <f>IF(OR(Table2811[[#This Row],[Base Rate]]="", Table2811[[#This Row],[Category Ref]]=""), "", IFERROR(Table2811[[#This Row],[Base Rate]] * (1 - (_xlfn.XLOOKUP(Table2811[[#This Row],[Category Ref]], CatTable[Category ID], CatTable[Minimum % Discount off MSRP
or Discount]) / 100)), ""))</f>
        <v/>
      </c>
      <c r="H23" s="14"/>
      <c r="I23" s="16" t="str">
        <f>IFERROR(Table2811[[#This Row],[Total Qty]]*Table2811[[#This Row],[Contract Price
(Base Rate - Disc %)]],"")</f>
        <v/>
      </c>
      <c r="J23" s="16"/>
      <c r="K23" s="16"/>
      <c r="L23" s="16"/>
      <c r="M23" s="16"/>
      <c r="N23" s="18">
        <f>SUM(Table2811[[#This Row],[Year 1 Cost]:[Year 5 Cost]])</f>
        <v>0</v>
      </c>
    </row>
    <row r="24" spans="1:14" ht="15.75" thickBot="1" x14ac:dyDescent="0.3">
      <c r="A24" s="17"/>
      <c r="B24" s="14"/>
      <c r="C24" s="26"/>
      <c r="D24" s="26" t="str" cm="1">
        <f t="array" ref="D24">IF(Table2811[[#This Row],[Category Ref]]="", "",IFERROR(_xlfn.XLOOKUP(Table2811[[#This Row],[Category Ref]],CatTable[[#All],[Category ID]],CatTable[[#All],[Functional
Sub-Category]]), "oops"))</f>
        <v/>
      </c>
      <c r="E24" s="14"/>
      <c r="F24" s="26"/>
      <c r="G24" s="15" t="str">
        <f>IF(OR(Table2811[[#This Row],[Base Rate]]="", Table2811[[#This Row],[Category Ref]]=""), "", IFERROR(Table2811[[#This Row],[Base Rate]] * (1 - (_xlfn.XLOOKUP(Table2811[[#This Row],[Category Ref]], CatTable[Category ID], CatTable[Minimum % Discount off MSRP
or Discount]) / 100)), ""))</f>
        <v/>
      </c>
      <c r="H24" s="14"/>
      <c r="I24" s="16" t="str">
        <f>IFERROR(Table2811[[#This Row],[Total Qty]]*Table2811[[#This Row],[Contract Price
(Base Rate - Disc %)]],"")</f>
        <v/>
      </c>
      <c r="J24" s="16"/>
      <c r="K24" s="16"/>
      <c r="L24" s="16"/>
      <c r="M24" s="16"/>
      <c r="N24" s="18">
        <f>SUM(Table2811[[#This Row],[Year 1 Cost]:[Year 5 Cost]])</f>
        <v>0</v>
      </c>
    </row>
    <row r="25" spans="1:14" ht="15.75" thickBot="1" x14ac:dyDescent="0.3">
      <c r="A25" s="43"/>
      <c r="B25" s="19"/>
      <c r="C25" s="5"/>
      <c r="D25" s="26" t="str" cm="1">
        <f t="array" ref="D25">IF(Table2811[[#This Row],[Category Ref]]="", "",IFERROR(_xlfn.XLOOKUP(Table2811[[#This Row],[Category Ref]],CatTable[[#All],[Category ID]],CatTable[[#All],[Functional
Sub-Category]]), "oops"))</f>
        <v/>
      </c>
      <c r="E25" s="19"/>
      <c r="F25" s="5"/>
      <c r="G25" s="15" t="str">
        <f>IF(OR(Table2811[[#This Row],[Base Rate]]="", Table2811[[#This Row],[Category Ref]]=""), "", IFERROR(Table2811[[#This Row],[Base Rate]] * (1 - (_xlfn.XLOOKUP(Table2811[[#This Row],[Category Ref]], CatTable[Category ID], CatTable[Minimum % Discount off MSRP
or Discount]) / 100)), ""))</f>
        <v/>
      </c>
      <c r="H25" s="19"/>
      <c r="I25" s="16" t="str">
        <f>IFERROR(Table2811[[#This Row],[Total Qty]]*Table2811[[#This Row],[Contract Price
(Base Rate - Disc %)]],"")</f>
        <v/>
      </c>
      <c r="J25" s="41"/>
      <c r="K25" s="41"/>
      <c r="L25" s="41"/>
      <c r="M25" s="41"/>
      <c r="N25" s="18">
        <f>SUM(Table2811[[#This Row],[Year 1 Cost]:[Year 5 Cost]])</f>
        <v>0</v>
      </c>
    </row>
    <row r="26" spans="1:14" ht="15.75" thickBot="1" x14ac:dyDescent="0.3">
      <c r="A26" s="35" t="s">
        <v>23</v>
      </c>
      <c r="B26" s="31"/>
      <c r="C26" s="32"/>
      <c r="D26" s="32"/>
      <c r="E26" s="31"/>
      <c r="F26" s="32"/>
      <c r="G26" s="31"/>
      <c r="H26" s="33"/>
      <c r="I26" s="63">
        <f>SUM(I22:I25)</f>
        <v>0</v>
      </c>
      <c r="J26" s="63">
        <f t="shared" ref="J26:M26" si="0">SUM(J22:J25)</f>
        <v>0</v>
      </c>
      <c r="K26" s="63">
        <f t="shared" si="0"/>
        <v>0</v>
      </c>
      <c r="L26" s="63">
        <f t="shared" si="0"/>
        <v>0</v>
      </c>
      <c r="M26" s="63">
        <f t="shared" si="0"/>
        <v>0</v>
      </c>
      <c r="N26" s="18">
        <f>SUM(Table2811[[#This Row],[Year 1 Cost]:[Year 5 Cost]])</f>
        <v>0</v>
      </c>
    </row>
  </sheetData>
  <mergeCells count="1">
    <mergeCell ref="A19:B19"/>
  </mergeCells>
  <pageMargins left="0.7" right="0.7" top="1.5" bottom="0.75" header="0.55000000000000004" footer="0.3"/>
  <pageSetup scale="50" fitToHeight="0" orientation="landscape" horizontalDpi="1200" verticalDpi="1200" r:id="rId1"/>
  <headerFooter>
    <oddHeader>&amp;L&amp;G&amp;C&amp;A&amp;RRFP 2026-010
Digital Evidence and Situational Awareness Technologies</oddHeader>
  </headerFooter>
  <drawing r:id="rId2"/>
  <legacyDrawingHF r:id="rId3"/>
  <tableParts count="2">
    <tablePart r:id="rId4"/>
    <tablePart r:id="rId5"/>
  </tableParts>
  <extLst>
    <ext xmlns:x14="http://schemas.microsoft.com/office/spreadsheetml/2009/9/main" uri="{CCE6A557-97BC-4b89-ADB6-D9C93CAAB3DF}">
      <x14:dataValidations xmlns:xm="http://schemas.microsoft.com/office/excel/2006/main" count="3">
        <x14:dataValidation type="list" allowBlank="1" showInputMessage="1" showErrorMessage="1" xr:uid="{A965D755-0804-458A-AEB3-3982AF5B1D49}">
          <x14:formula1>
            <xm:f>'Discount Category Table'!$A$3:$A$14</xm:f>
          </x14:formula1>
          <xm:sqref>C4:C7</xm:sqref>
        </x14:dataValidation>
        <x14:dataValidation type="list" allowBlank="1" showInputMessage="1" showErrorMessage="1" xr:uid="{D631FCF2-5005-4988-8A7B-1F5773427B8B}">
          <x14:formula1>
            <xm:f>Sheet1!$L$1:$L$6</xm:f>
          </x14:formula1>
          <xm:sqref>I19</xm:sqref>
        </x14:dataValidation>
        <x14:dataValidation type="list" allowBlank="1" showInputMessage="1" showErrorMessage="1" xr:uid="{78451859-B81A-4148-AF09-0AEC05CE688D}">
          <x14:formula1>
            <xm:f>'Discount Category Table'!$A$19:$A$1048576</xm:f>
          </x14:formula1>
          <xm:sqref>C22:C1048576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58D3A-F8B6-4ACB-9791-B8D5EFF015C2}">
  <sheetPr>
    <tabColor theme="9"/>
    <pageSetUpPr fitToPage="1"/>
  </sheetPr>
  <dimension ref="A1:E16"/>
  <sheetViews>
    <sheetView workbookViewId="0">
      <selection activeCell="K8" sqref="K8"/>
    </sheetView>
  </sheetViews>
  <sheetFormatPr defaultRowHeight="15" x14ac:dyDescent="0.25"/>
  <cols>
    <col min="1" max="1" width="22" style="9" customWidth="1"/>
    <col min="2" max="2" width="32.85546875" style="9" customWidth="1"/>
    <col min="3" max="3" width="37.42578125" style="9" customWidth="1"/>
    <col min="4" max="4" width="22.85546875" style="9" customWidth="1"/>
    <col min="5" max="5" width="37.42578125" style="9" customWidth="1"/>
    <col min="6" max="16384" width="9.140625" style="125"/>
  </cols>
  <sheetData>
    <row r="1" spans="1:5" ht="168.75" customHeight="1" x14ac:dyDescent="0.25">
      <c r="A1" s="142" t="s">
        <v>145</v>
      </c>
      <c r="B1" s="142"/>
      <c r="C1" s="142"/>
      <c r="D1" s="142"/>
      <c r="E1" s="142"/>
    </row>
    <row r="2" spans="1:5" x14ac:dyDescent="0.25">
      <c r="A2" s="125"/>
      <c r="B2" s="125"/>
      <c r="C2" s="125"/>
      <c r="D2" s="125"/>
      <c r="E2" s="125"/>
    </row>
    <row r="3" spans="1:5" s="126" customFormat="1" ht="15.75" thickBot="1" x14ac:dyDescent="0.3">
      <c r="A3" s="82" t="s">
        <v>32</v>
      </c>
      <c r="B3" s="83" t="s">
        <v>33</v>
      </c>
      <c r="C3" s="83" t="s">
        <v>34</v>
      </c>
      <c r="D3" s="83" t="s">
        <v>35</v>
      </c>
      <c r="E3" s="84" t="s">
        <v>61</v>
      </c>
    </row>
    <row r="4" spans="1:5" ht="15.75" thickBot="1" x14ac:dyDescent="0.3">
      <c r="A4" s="85" t="s">
        <v>36</v>
      </c>
      <c r="B4" s="86" t="s">
        <v>37</v>
      </c>
      <c r="C4" s="86" t="s">
        <v>38</v>
      </c>
      <c r="D4" s="86" t="s">
        <v>39</v>
      </c>
      <c r="E4" s="87" t="s">
        <v>40</v>
      </c>
    </row>
    <row r="5" spans="1:5" ht="15.75" thickBot="1" x14ac:dyDescent="0.3">
      <c r="A5" s="85" t="s">
        <v>41</v>
      </c>
      <c r="B5" s="86" t="s">
        <v>42</v>
      </c>
      <c r="C5" s="86" t="s">
        <v>43</v>
      </c>
      <c r="D5" s="86" t="s">
        <v>44</v>
      </c>
      <c r="E5" s="87" t="s">
        <v>45</v>
      </c>
    </row>
    <row r="6" spans="1:5" ht="15.75" thickBot="1" x14ac:dyDescent="0.3">
      <c r="A6" s="85" t="s">
        <v>46</v>
      </c>
      <c r="B6" s="86" t="s">
        <v>47</v>
      </c>
      <c r="C6" s="86" t="s">
        <v>48</v>
      </c>
      <c r="D6" s="86" t="s">
        <v>49</v>
      </c>
      <c r="E6" s="87" t="s">
        <v>50</v>
      </c>
    </row>
    <row r="7" spans="1:5" ht="15.75" thickBot="1" x14ac:dyDescent="0.3">
      <c r="A7" s="85" t="s">
        <v>51</v>
      </c>
      <c r="B7" s="86" t="s">
        <v>52</v>
      </c>
      <c r="C7" s="86" t="s">
        <v>53</v>
      </c>
      <c r="D7" s="86" t="s">
        <v>54</v>
      </c>
      <c r="E7" s="87" t="s">
        <v>55</v>
      </c>
    </row>
    <row r="8" spans="1:5" x14ac:dyDescent="0.25">
      <c r="A8" s="88" t="s">
        <v>56</v>
      </c>
      <c r="B8" s="89" t="s">
        <v>57</v>
      </c>
      <c r="C8" s="89" t="s">
        <v>58</v>
      </c>
      <c r="D8" s="89" t="s">
        <v>59</v>
      </c>
      <c r="E8" s="90" t="s">
        <v>60</v>
      </c>
    </row>
    <row r="9" spans="1:5" x14ac:dyDescent="0.25">
      <c r="A9" s="125"/>
      <c r="B9" s="125"/>
      <c r="C9" s="125"/>
      <c r="D9" s="125"/>
      <c r="E9" s="125"/>
    </row>
    <row r="10" spans="1:5" ht="26.25" x14ac:dyDescent="0.4">
      <c r="A10" s="127" t="str">
        <f>'Discount Category Table'!C16</f>
        <v>[Enter Company Name Here]</v>
      </c>
      <c r="B10" s="125"/>
      <c r="C10" s="125"/>
      <c r="D10" s="128" t="s">
        <v>157</v>
      </c>
      <c r="E10" s="125" t="str">
        <f>'Discount Category Table'!H16</f>
        <v>xx/xx/xxxx</v>
      </c>
    </row>
    <row r="11" spans="1:5" ht="15.75" thickBot="1" x14ac:dyDescent="0.3">
      <c r="A11" s="82" t="s">
        <v>32</v>
      </c>
      <c r="B11" s="83" t="s">
        <v>33</v>
      </c>
      <c r="C11" s="83" t="s">
        <v>34</v>
      </c>
      <c r="D11" s="83" t="s">
        <v>35</v>
      </c>
      <c r="E11" s="84" t="s">
        <v>61</v>
      </c>
    </row>
    <row r="12" spans="1:5" ht="15.75" thickBot="1" x14ac:dyDescent="0.3">
      <c r="A12" s="85"/>
      <c r="B12" s="86"/>
      <c r="C12" s="86"/>
      <c r="D12" s="86"/>
      <c r="E12" s="87"/>
    </row>
    <row r="13" spans="1:5" ht="15.75" thickBot="1" x14ac:dyDescent="0.3">
      <c r="A13" s="85"/>
      <c r="B13" s="86"/>
      <c r="C13" s="86"/>
      <c r="D13" s="86"/>
      <c r="E13" s="87"/>
    </row>
    <row r="14" spans="1:5" ht="15.75" thickBot="1" x14ac:dyDescent="0.3">
      <c r="A14" s="85"/>
      <c r="B14" s="86"/>
      <c r="C14" s="86"/>
      <c r="D14" s="86"/>
      <c r="E14" s="87"/>
    </row>
    <row r="15" spans="1:5" ht="15.75" thickBot="1" x14ac:dyDescent="0.3">
      <c r="A15" s="85"/>
      <c r="B15" s="86"/>
      <c r="C15" s="86"/>
      <c r="D15" s="86"/>
      <c r="E15" s="87"/>
    </row>
    <row r="16" spans="1:5" x14ac:dyDescent="0.25">
      <c r="A16" s="88"/>
      <c r="B16" s="89"/>
      <c r="C16" s="89"/>
      <c r="D16" s="89"/>
      <c r="E16" s="90"/>
    </row>
  </sheetData>
  <mergeCells count="1">
    <mergeCell ref="A1:E1"/>
  </mergeCells>
  <pageMargins left="0.7" right="0.7" top="1.5" bottom="0.75" header="0.55000000000000004" footer="0.3"/>
  <pageSetup scale="59" fitToHeight="0" orientation="portrait" horizontalDpi="1200" verticalDpi="1200" r:id="rId1"/>
  <headerFooter>
    <oddHeader>&amp;L&amp;G&amp;C&amp;A&amp;RRFP 2026-010
Digital Evidence and Situational Awareness Tehcnologies</oddHeader>
  </headerFooter>
  <drawing r:id="rId2"/>
  <legacyDrawingHF r:id="rId3"/>
  <tableParts count="2">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CDF79-78B5-41B0-A629-AB9F602EFB7E}">
  <dimension ref="A1:L8"/>
  <sheetViews>
    <sheetView workbookViewId="0">
      <selection activeCell="F14" sqref="F14"/>
    </sheetView>
  </sheetViews>
  <sheetFormatPr defaultColWidth="7.5703125" defaultRowHeight="15" x14ac:dyDescent="0.25"/>
  <cols>
    <col min="1" max="1" width="7.5703125" style="93"/>
  </cols>
  <sheetData>
    <row r="1" spans="1:12" ht="15.75" x14ac:dyDescent="0.25">
      <c r="A1" s="74" t="s">
        <v>119</v>
      </c>
      <c r="B1" s="42"/>
      <c r="C1" s="46"/>
      <c r="L1" s="113" t="s">
        <v>148</v>
      </c>
    </row>
    <row r="2" spans="1:12" ht="15.75" x14ac:dyDescent="0.25">
      <c r="A2" s="74" t="s">
        <v>120</v>
      </c>
      <c r="B2" s="42"/>
      <c r="C2" s="46"/>
      <c r="L2" s="113" t="s">
        <v>149</v>
      </c>
    </row>
    <row r="3" spans="1:12" ht="15.75" x14ac:dyDescent="0.25">
      <c r="A3" s="74" t="s">
        <v>121</v>
      </c>
      <c r="B3" s="42"/>
      <c r="C3" s="46"/>
      <c r="L3" s="113" t="s">
        <v>150</v>
      </c>
    </row>
    <row r="4" spans="1:12" ht="15.75" x14ac:dyDescent="0.25">
      <c r="A4" s="74" t="s">
        <v>122</v>
      </c>
      <c r="L4" s="113" t="s">
        <v>151</v>
      </c>
    </row>
    <row r="5" spans="1:12" ht="15.75" x14ac:dyDescent="0.25">
      <c r="A5" s="74" t="s">
        <v>154</v>
      </c>
      <c r="L5" s="113" t="s">
        <v>152</v>
      </c>
    </row>
    <row r="6" spans="1:12" x14ac:dyDescent="0.25">
      <c r="A6" s="91" t="s">
        <v>127</v>
      </c>
      <c r="L6" s="113" t="s">
        <v>153</v>
      </c>
    </row>
    <row r="8" spans="1:12" ht="17.25" x14ac:dyDescent="0.25">
      <c r="A8" s="9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Discount Category Table</vt:lpstr>
      <vt:lpstr>Evaluation Scenario A</vt:lpstr>
      <vt:lpstr>Evaluation Scenario B</vt:lpstr>
      <vt:lpstr>Evaluation Scenario C</vt:lpstr>
      <vt:lpstr>Evaluation Scenario D</vt:lpstr>
      <vt:lpstr>Order Workflow</vt:lpstr>
      <vt:lpstr>Sheet1</vt:lpstr>
      <vt:lpstr>'Discount Category Table'!Print_Area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RFP 2026-010 TCO Package Template</dc:title>
  <dc:creator>THEEN, MARIANNE</dc:creator>
  <cp:lastModifiedBy>THEEN, MARIANNE</cp:lastModifiedBy>
  <cp:lastPrinted>2026-08-12T15:43:38Z</cp:lastPrinted>
  <dcterms:created xsi:type="dcterms:W3CDTF">2026-04-13T16:19:54Z</dcterms:created>
  <dcterms:modified xsi:type="dcterms:W3CDTF">2026-08-13T12:59:36Z</dcterms:modified>
</cp:coreProperties>
</file>